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1.xml" ContentType="application/vnd.openxmlformats-officedocument.drawing+xml"/>
  <Override PartName="/xl/ctrlProps/ctrlProp68.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ctrlProps/ctrlProp69.xml" ContentType="application/vnd.ms-excel.controlproperties+xml"/>
  <Override PartName="/xl/comments1.xml" ContentType="application/vnd.openxmlformats-officedocument.spreadsheetml.comments+xml"/>
  <Override PartName="/xl/drawings/drawing14.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15.xml" ContentType="application/vnd.openxmlformats-officedocument.drawing+xml"/>
  <Override PartName="/xl/drawings/drawing16.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17.xml" ContentType="application/vnd.openxmlformats-officedocument.drawing+xml"/>
  <Override PartName="/xl/ctrlProps/ctrlProp73.xml" ContentType="application/vnd.ms-excel.controlproperties+xml"/>
  <Override PartName="/xl/drawings/drawing18.xml" ContentType="application/vnd.openxmlformats-officedocument.drawing+xml"/>
  <Override PartName="/xl/ctrlProps/ctrlProp74.xml" ContentType="application/vnd.ms-excel.controlpropertie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3.xml" ContentType="application/vnd.openxmlformats-officedocument.spreadsheetml.comments+xml"/>
  <Override PartName="/xl/drawings/drawing23.xml" ContentType="application/vnd.openxmlformats-officedocument.drawing+xml"/>
  <Override PartName="/xl/comments4.xml" ContentType="application/vnd.openxmlformats-officedocument.spreadsheetml.comments+xml"/>
  <Override PartName="/xl/drawings/drawing24.xml" ContentType="application/vnd.openxmlformats-officedocument.drawing+xml"/>
  <Override PartName="/xl/comments5.xml" ContentType="application/vnd.openxmlformats-officedocument.spreadsheetml.comments+xml"/>
  <Override PartName="/xl/drawings/drawing25.xml" ContentType="application/vnd.openxmlformats-officedocument.drawing+xml"/>
  <Override PartName="/xl/comments6.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26.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27.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Documentation\ISO9001SystemProcedures\ISO 9001-2015 Business Management System\Department Work Instructions\1. BMS Forms\"/>
    </mc:Choice>
  </mc:AlternateContent>
  <bookViews>
    <workbookView xWindow="135" yWindow="-210" windowWidth="11595" windowHeight="12120" tabRatio="949" activeTab="2"/>
  </bookViews>
  <sheets>
    <sheet name="COVER" sheetId="128" r:id="rId1"/>
    <sheet name="INTRO" sheetId="1" r:id="rId2"/>
    <sheet name="PPAP REQUIREMENTS" sheetId="160" r:id="rId3"/>
    <sheet name="LABELING" sheetId="129" r:id="rId4"/>
    <sheet name="PSW" sheetId="304" r:id="rId5"/>
    <sheet name="DIMENSIONAL" sheetId="27" r:id="rId6"/>
    <sheet name="DESIGN RECORD (BUBBLED DRAWING)" sheetId="305" r:id="rId7"/>
    <sheet name="PRINT NOTES" sheetId="283" r:id="rId8"/>
    <sheet name="PRINT NOTES - PAINT" sheetId="302" r:id="rId9"/>
    <sheet name="PRINT NOTES - WELDING" sheetId="303" r:id="rId10"/>
    <sheet name="APPEARANCE" sheetId="207" r:id="rId11"/>
    <sheet name="DFMEA" sheetId="201" r:id="rId12"/>
    <sheet name="FLOW" sheetId="200" r:id="rId13"/>
    <sheet name="PFMEA" sheetId="218" r:id="rId14"/>
    <sheet name="CPLAN" sheetId="203" r:id="rId15"/>
    <sheet name="TOOLING" sheetId="275" r:id="rId16"/>
    <sheet name="CAPABILITY STUDY" sheetId="276" r:id="rId17"/>
    <sheet name="DFMEA Ratings" sheetId="261" r:id="rId18"/>
    <sheet name="PFMEA Ratings" sheetId="262" r:id="rId19"/>
    <sheet name="GR&amp;R ATT(Analytic)" sheetId="209" r:id="rId20"/>
    <sheet name="Graph" sheetId="210" r:id="rId21"/>
    <sheet name="GR&amp;R ATT(Risk)" sheetId="211" r:id="rId22"/>
    <sheet name="GR&amp;R VAR(TV)" sheetId="212" r:id="rId23"/>
    <sheet name="GR&amp;R VAR(Tol)" sheetId="213" r:id="rId24"/>
    <sheet name="GR&amp;R ANOVA" sheetId="214" r:id="rId25"/>
    <sheet name="Graphical" sheetId="215" r:id="rId26"/>
    <sheet name="GR&amp;R X&amp;R" sheetId="216" r:id="rId27"/>
    <sheet name="Gage R" sheetId="217" r:id="rId28"/>
    <sheet name="Module1" sheetId="46" state="veryHidden" r:id="rId29"/>
  </sheets>
  <externalReferences>
    <externalReference r:id="rId30"/>
    <externalReference r:id="rId31"/>
    <externalReference r:id="rId32"/>
    <externalReference r:id="rId33"/>
  </externalReferences>
  <definedNames>
    <definedName name="Estimate" localSheetId="4">'[1]Estimate Standard Deviation'!$B$2</definedName>
    <definedName name="Estimate">'[2]Estimate Standard Deviation'!$B$2</definedName>
    <definedName name="Friedman1" localSheetId="4">OFFSET([3]Friedman!$K$16,0,0,COUNT([3]Friedman!$K$1:$K$65536))</definedName>
    <definedName name="Friedman1">OFFSET([4]Friedman!$K$16,0,0,COUNT([4]Friedman!$K$1:$K$65536))</definedName>
    <definedName name="Friedman10" localSheetId="4">OFFSET([3]Friedman!$T$16,0,0,COUNT([3]Friedman!$T$1:$T$65536))</definedName>
    <definedName name="Friedman10">OFFSET([4]Friedman!$T$16,0,0,COUNT([4]Friedman!$T$1:$T$65536))</definedName>
    <definedName name="Friedman2" localSheetId="4">OFFSET([3]Friedman!$L$16,0,0,COUNT([3]Friedman!$L$1:$L$65536))</definedName>
    <definedName name="Friedman2">OFFSET([4]Friedman!$L$16,0,0,COUNT([4]Friedman!$L$1:$L$65536))</definedName>
    <definedName name="Friedman3" localSheetId="4">OFFSET([3]Friedman!$M$16,0,0,COUNT([3]Friedman!$M$1:$M$65536))</definedName>
    <definedName name="Friedman3">OFFSET([4]Friedman!$M$16,0,0,COUNT([4]Friedman!$M$1:$M$65536))</definedName>
    <definedName name="Friedman4" localSheetId="4">OFFSET([3]Friedman!$N$16,0,0,COUNT([3]Friedman!$N$1:$N$65536))</definedName>
    <definedName name="Friedman4">OFFSET([4]Friedman!$N$16,0,0,COUNT([4]Friedman!$N$1:$N$65536))</definedName>
    <definedName name="Friedman5" localSheetId="4">OFFSET([3]Friedman!$O$16,0,0,COUNT([3]Friedman!$O$1:$O$65536))</definedName>
    <definedName name="Friedman5">OFFSET([4]Friedman!$O$16,0,0,COUNT([4]Friedman!$O$1:$O$65536))</definedName>
    <definedName name="Friedman6" localSheetId="4">OFFSET([3]Friedman!$P$16,0,0,COUNT([3]Friedman!$P$1:$P$65536))</definedName>
    <definedName name="Friedman6">OFFSET([4]Friedman!$P$16,0,0,COUNT([4]Friedman!$P$1:$P$65536))</definedName>
    <definedName name="Friedman7" localSheetId="4">OFFSET([3]Friedman!$Q$16,0,0,COUNT([3]Friedman!$Q$1:$Q$65536))</definedName>
    <definedName name="Friedman7">OFFSET([4]Friedman!$Q$16,0,0,COUNT([4]Friedman!$Q$1:$Q$65536))</definedName>
    <definedName name="Friedman8" localSheetId="4">OFFSET([3]Friedman!$R$16,0,0,COUNT([3]Friedman!$R$1:$R$65536))</definedName>
    <definedName name="Friedman8">OFFSET([4]Friedman!$R$16,0,0,COUNT([4]Friedman!$R$1:$R$65536))</definedName>
    <definedName name="Friedman9" localSheetId="4">OFFSET([3]Friedman!$S$16,0,0,COUNT([3]Friedman!$S$1:$S$65536))</definedName>
    <definedName name="Friedman9">OFFSET([4]Friedman!$S$16,0,0,COUNT([4]Friedman!$S$1:$S$65536))</definedName>
    <definedName name="FriedmanNonBlank1" localSheetId="4">OFFSET([3]Friedman!$K$16,0,0,COUNTA([3]Friedman!$K$1:$K$65536)-1)</definedName>
    <definedName name="FriedmanNonBlank1">OFFSET([4]Friedman!$K$16,0,0,COUNTA([4]Friedman!$K$1:$K$65536)-1)</definedName>
    <definedName name="FriedmanNonBlank10" localSheetId="4">OFFSET([3]Friedman!$T$16,0,0,COUNTA([3]Friedman!$T$1:$T$65536)-1)</definedName>
    <definedName name="FriedmanNonBlank10">OFFSET([4]Friedman!$T$16,0,0,COUNTA([4]Friedman!$T$1:$T$65536)-1)</definedName>
    <definedName name="FriedmanNonBlank2" localSheetId="4">OFFSET([3]Friedman!$L$16,0,0,COUNTA([3]Friedman!$L$1:$L$65536)-1)</definedName>
    <definedName name="FriedmanNonBlank2">OFFSET([4]Friedman!$L$16,0,0,COUNTA([4]Friedman!$L$1:$L$65536)-1)</definedName>
    <definedName name="FriedmanNonBlank3" localSheetId="4">OFFSET([3]Friedman!$M$16,0,0,COUNTA([3]Friedman!$M$1:$M$65536)-2)</definedName>
    <definedName name="FriedmanNonBlank3">OFFSET([4]Friedman!$M$16,0,0,COUNTA([4]Friedman!$M$1:$M$65536)-2)</definedName>
    <definedName name="FriedmanNonBlank4" localSheetId="4">OFFSET([3]Friedman!$N$16,0,0,COUNTA([3]Friedman!$N$1:$N$65536)-1)</definedName>
    <definedName name="FriedmanNonBlank4">OFFSET([4]Friedman!$N$16,0,0,COUNTA([4]Friedman!$N$1:$N$65536)-1)</definedName>
    <definedName name="FriedmanNonBlank5" localSheetId="4">OFFSET([3]Friedman!$O$16,0,0,COUNTA([3]Friedman!$O$1:$O$65536)-2)</definedName>
    <definedName name="FriedmanNonBlank5">OFFSET([4]Friedman!$O$16,0,0,COUNTA([4]Friedman!$O$1:$O$65536)-2)</definedName>
    <definedName name="FriedmanNonBlank6" localSheetId="4">OFFSET([3]Friedman!$P$16,0,0,COUNTA([3]Friedman!$P$1:$P$65536)-1)</definedName>
    <definedName name="FriedmanNonBlank6">OFFSET([4]Friedman!$P$16,0,0,COUNTA([4]Friedman!$P$1:$P$65536)-1)</definedName>
    <definedName name="FriedmanNonBlank7" localSheetId="4">OFFSET([3]Friedman!$Q$16,0,0,COUNTA([3]Friedman!$Q$1:$Q$65536)-1)</definedName>
    <definedName name="FriedmanNonBlank7">OFFSET([4]Friedman!$Q$16,0,0,COUNTA([4]Friedman!$Q$1:$Q$65536)-1)</definedName>
    <definedName name="FriedmanNonBlank8" localSheetId="4">OFFSET([3]Friedman!$R$16,0,0,COUNTA([3]Friedman!$R$1:$R$65536)-1)</definedName>
    <definedName name="FriedmanNonBlank8">OFFSET([4]Friedman!$R$16,0,0,COUNTA([4]Friedman!$R$1:$R$65536)-1)</definedName>
    <definedName name="FriedmanNonBlank9" localSheetId="4">OFFSET([3]Friedman!$S$16,0,0,COUNTA([3]Friedman!$S$1:$S$65536)-1)</definedName>
    <definedName name="FriedmanNonBlank9">OFFSET([4]Friedman!$S$16,0,0,COUNTA([4]Friedman!$S$1:$S$65536)-1)</definedName>
    <definedName name="Home" localSheetId="4">#REF!</definedName>
    <definedName name="Home">#REF!</definedName>
    <definedName name="KruskalWallis1" localSheetId="4">OFFSET([3]KruskalWallis!$K$16,0,0,COUNT([3]KruskalWallis!$K$1:$K$65536))</definedName>
    <definedName name="KruskalWallis1">OFFSET([4]KruskalWallis!$K$16,0,0,COUNT([4]KruskalWallis!$K$1:$K$65536))</definedName>
    <definedName name="KruskalWallis10" localSheetId="4">OFFSET([3]KruskalWallis!$T$16,0,0,COUNT([3]KruskalWallis!$T$1:$T$65536))</definedName>
    <definedName name="KruskalWallis10">OFFSET([4]KruskalWallis!$T$16,0,0,COUNT([4]KruskalWallis!$T$1:$T$65536))</definedName>
    <definedName name="KruskalWallis2" localSheetId="4">OFFSET([3]KruskalWallis!$L$16,0,0,COUNT([3]KruskalWallis!$L$1:$L$65536))</definedName>
    <definedName name="KruskalWallis2">OFFSET([4]KruskalWallis!$L$16,0,0,COUNT([4]KruskalWallis!$L$1:$L$65536))</definedName>
    <definedName name="KruskalWallis3" localSheetId="4">OFFSET([3]KruskalWallis!$M$16,0,0,COUNT([3]KruskalWallis!$M$1:$M$65536))</definedName>
    <definedName name="KruskalWallis3">OFFSET([4]KruskalWallis!$M$16,0,0,COUNT([4]KruskalWallis!$M$1:$M$65536))</definedName>
    <definedName name="KruskalWallis4" localSheetId="4">OFFSET([3]KruskalWallis!$N$16,0,0,COUNT([3]KruskalWallis!$N$1:$N$65536))</definedName>
    <definedName name="KruskalWallis4">OFFSET([4]KruskalWallis!$N$16,0,0,COUNT([4]KruskalWallis!$N$1:$N$65536))</definedName>
    <definedName name="KruskalWallis5" localSheetId="4">OFFSET([3]KruskalWallis!$O$16,0,0,COUNT([3]KruskalWallis!$O$1:$O$65536))</definedName>
    <definedName name="KruskalWallis5">OFFSET([4]KruskalWallis!$O$16,0,0,COUNT([4]KruskalWallis!$O$1:$O$65536))</definedName>
    <definedName name="KruskalWallis6" localSheetId="4">OFFSET([3]KruskalWallis!$P$16,0,0,COUNT([3]KruskalWallis!$P$1:$P$65536))</definedName>
    <definedName name="KruskalWallis6">OFFSET([4]KruskalWallis!$P$16,0,0,COUNT([4]KruskalWallis!$P$1:$P$65536))</definedName>
    <definedName name="KruskalWallis7" localSheetId="4">OFFSET([3]KruskalWallis!$Q$16,0,0,COUNT([3]KruskalWallis!$Q$1:$Q$65536))</definedName>
    <definedName name="KruskalWallis7">OFFSET([4]KruskalWallis!$Q$16,0,0,COUNT([4]KruskalWallis!$Q$1:$Q$65536))</definedName>
    <definedName name="KruskalWallis8" localSheetId="4">OFFSET([3]KruskalWallis!$R$16,0,0,COUNT([3]KruskalWallis!$R$1:$R$65536))</definedName>
    <definedName name="KruskalWallis8">OFFSET([4]KruskalWallis!$R$16,0,0,COUNT([4]KruskalWallis!$R$1:$R$65536))</definedName>
    <definedName name="KruskalWallis9" localSheetId="4">OFFSET([3]KruskalWallis!$S$16,0,0,COUNT([3]KruskalWallis!$S$1:$S$65536))</definedName>
    <definedName name="KruskalWallis9">OFFSET([4]KruskalWallis!$S$16,0,0,COUNT([4]KruskalWallis!$S$1:$S$65536))</definedName>
    <definedName name="KruskalWallisNonBlank1" localSheetId="4">OFFSET([3]KruskalWallis!$K$16,0,0,COUNTA([3]KruskalWallis!$K$1:$K$65536)-1)</definedName>
    <definedName name="KruskalWallisNonBlank1">OFFSET([4]KruskalWallis!$K$16,0,0,COUNTA([4]KruskalWallis!$K$1:$K$65536)-1)</definedName>
    <definedName name="KruskalWallisNonBlank10" localSheetId="4">OFFSET([3]KruskalWallis!$T$16,0,0,COUNTA([3]KruskalWallis!$T$1:$T$65536)-1)</definedName>
    <definedName name="KruskalWallisNonBlank10">OFFSET([4]KruskalWallis!$T$16,0,0,COUNTA([4]KruskalWallis!$T$1:$T$65536)-1)</definedName>
    <definedName name="KruskalWallisNonBlank2" localSheetId="4">OFFSET([3]KruskalWallis!$L$16,0,0,COUNTA([3]KruskalWallis!$L$1:$L$65536)-1)</definedName>
    <definedName name="KruskalWallisNonBlank2">OFFSET([4]KruskalWallis!$L$16,0,0,COUNTA([4]KruskalWallis!$L$1:$L$65536)-1)</definedName>
    <definedName name="KruskalWallisNonBlank3" localSheetId="4">OFFSET([3]KruskalWallis!$M$16,0,0,COUNTA([3]KruskalWallis!$M$1:$M$65536)-2)</definedName>
    <definedName name="KruskalWallisNonBlank3">OFFSET([4]KruskalWallis!$M$16,0,0,COUNTA([4]KruskalWallis!$M$1:$M$65536)-2)</definedName>
    <definedName name="KruskalWallisNonBlank4" localSheetId="4">OFFSET([3]KruskalWallis!$N$16,0,0,COUNTA([3]KruskalWallis!$N$1:$N$65536)-1)</definedName>
    <definedName name="KruskalWallisNonBlank4">OFFSET([4]KruskalWallis!$N$16,0,0,COUNTA([4]KruskalWallis!$N$1:$N$65536)-1)</definedName>
    <definedName name="KruskalWallisNonBlank5" localSheetId="4">OFFSET([3]KruskalWallis!$O$16,0,0,COUNTA([3]KruskalWallis!$O$1:$O$65536)-2)</definedName>
    <definedName name="KruskalWallisNonBlank5">OFFSET([4]KruskalWallis!$O$16,0,0,COUNTA([4]KruskalWallis!$O$1:$O$65536)-2)</definedName>
    <definedName name="KruskalWallisNonBlank6" localSheetId="4">OFFSET([3]KruskalWallis!$P$16,0,0,COUNTA([3]KruskalWallis!$P$1:$P$65536)-1)</definedName>
    <definedName name="KruskalWallisNonBlank6">OFFSET([4]KruskalWallis!$P$16,0,0,COUNTA([4]KruskalWallis!$P$1:$P$65536)-1)</definedName>
    <definedName name="KruskalWallisNonBlank7" localSheetId="4">OFFSET([3]KruskalWallis!$Q$16,0,0,COUNTA([3]KruskalWallis!$Q$1:$Q$65536)-1)</definedName>
    <definedName name="KruskalWallisNonBlank7">OFFSET([4]KruskalWallis!$Q$16,0,0,COUNTA([4]KruskalWallis!$Q$1:$Q$65536)-1)</definedName>
    <definedName name="KruskalWallisNonBlank8" localSheetId="4">OFFSET([3]KruskalWallis!$R$16,0,0,COUNTA([3]KruskalWallis!$R$1:$R$65536)-1)</definedName>
    <definedName name="KruskalWallisNonBlank8">OFFSET([4]KruskalWallis!$R$16,0,0,COUNTA([4]KruskalWallis!$R$1:$R$65536)-1)</definedName>
    <definedName name="KruskalWallisNonBlank9" localSheetId="4">OFFSET([3]KruskalWallis!$S$16,0,0,COUNTA([3]KruskalWallis!$S$1:$S$65536)-1)</definedName>
    <definedName name="KruskalWallisNonBlank9">OFFSET([4]KruskalWallis!$S$16,0,0,COUNTA([4]KruskalWallis!$S$1:$S$65536)-1)</definedName>
    <definedName name="LCLr" localSheetId="4">OFFSET(#REF!,0,0,,COUNT(#REF!))</definedName>
    <definedName name="LCLr">OFFSET(#REF!,0,0,,COUNT(#REF!))</definedName>
    <definedName name="LCLx" localSheetId="4">OFFSET(#REF!,0,0,,COUNT(#REF!))</definedName>
    <definedName name="LCLx">OFFSET(#REF!,0,0,,COUNT(#REF!))</definedName>
    <definedName name="LSL" localSheetId="4">OFFSET('[1]Behind the scenes'!$E$89,'[1]Behind the scenes'!$L$88,0,'[1]Behind the scenes'!$L$90)</definedName>
    <definedName name="LSL">OFFSET('[2]Behind the scenes'!$E$89,'[2]Behind the scenes'!$L$88,0,'[2]Behind the scenes'!$L$90)</definedName>
    <definedName name="MannWhitney1" localSheetId="4">OFFSET([3]MannWhitney!$K$16,0,0,COUNT([3]MannWhitney!$K$1:$K$65536))</definedName>
    <definedName name="MannWhitney1">OFFSET([4]MannWhitney!$K$16,0,0,COUNT([4]MannWhitney!$K$1:$K$65536))</definedName>
    <definedName name="MannWhitney2" localSheetId="4">OFFSET([3]MannWhitney!$L$16,0,0,COUNT([3]MannWhitney!$L$1:$L$65536))</definedName>
    <definedName name="MannWhitney2">OFFSET([4]MannWhitney!$L$16,0,0,COUNT([4]MannWhitney!$L$1:$L$65536))</definedName>
    <definedName name="MannWhitneyNonBlank1" localSheetId="4">OFFSET([3]MannWhitney!$K$16,0,0,COUNTA([3]MannWhitney!$K$1:$K$65536)-1)</definedName>
    <definedName name="MannWhitneyNonBlank1">OFFSET([4]MannWhitney!$K$16,0,0,COUNTA([4]MannWhitney!$K$1:$K$65536)-1)</definedName>
    <definedName name="MannWhitneyNonBlank2" localSheetId="4">OFFSET([3]MannWhitney!$L$16,0,0,COUNTA([3]MannWhitney!$L$1:$L$65536)-1)</definedName>
    <definedName name="MannWhitneyNonBlank2">OFFSET([4]MannWhitney!$L$16,0,0,COUNTA([4]MannWhitney!$L$1:$L$65536)-1)</definedName>
    <definedName name="Normal" localSheetId="4">OFFSET('[1]Behind the scenes'!$B$89,'[1]Behind the scenes'!$L$88,0,'[1]Behind the scenes'!$L$90)</definedName>
    <definedName name="Normal">OFFSET('[2]Behind the scenes'!$B$89,'[2]Behind the scenes'!$L$88,0,'[2]Behind the scenes'!$L$90)</definedName>
    <definedName name="OneSampSignData" localSheetId="4">OFFSET([3]OneSampleSignTest!$K$16,0,0,COUNT([3]OneSampleSignTest!$K$1:$K$65536))</definedName>
    <definedName name="OneSampSignData">OFFSET([4]OneSampleSignTest!$K$16,0,0,COUNT([4]OneSampleSignTest!$K$1:$K$65536))</definedName>
    <definedName name="OneSampSignDataNonBlank" localSheetId="4">OFFSET([3]OneSampleSignTest!$K$16,0,0,COUNTA([3]OneSampleSignTest!$K$1:$K$65536)-1)</definedName>
    <definedName name="OneSampSignDataNonBlank">OFFSET([4]OneSampleSignTest!$K$16,0,0,COUNTA([4]OneSampleSignTest!$K$1:$K$65536)-1)</definedName>
    <definedName name="OneSampWilcoxon" localSheetId="4">OFFSET([3]OneSampleWilcoxon!$K$16,0,0,COUNT([3]OneSampleWilcoxon!$K$1:$K$65536))</definedName>
    <definedName name="OneSampWilcoxon">OFFSET([4]OneSampleWilcoxon!$K$16,0,0,COUNT([4]OneSampleWilcoxon!$K$1:$K$65536))</definedName>
    <definedName name="OneSampWilcoxonNonBlank" localSheetId="4">OFFSET([3]OneSampleWilcoxon!$K$16,0,0,COUNTA([3]OneSampleWilcoxon!$K$1:$K$65536)-1)</definedName>
    <definedName name="OneSampWilcoxonNonBlank">OFFSET([4]OneSampleWilcoxon!$K$16,0,0,COUNTA([4]OneSampleWilcoxon!$K$1:$K$65536)-1)</definedName>
    <definedName name="PairedSignData1" localSheetId="4">OFFSET([3]PairedSamplesSignTest!$K$16,0,0,COUNT([3]PairedSamplesSignTest!$K$1:$K$65536))</definedName>
    <definedName name="PairedSignData1">OFFSET([4]PairedSamplesSignTest!$K$16,0,0,COUNT([4]PairedSamplesSignTest!$K$1:$K$65536))</definedName>
    <definedName name="PairedSignData2" localSheetId="4">OFFSET([3]PairedSamplesSignTest!$L$16,0,0,COUNT([3]PairedSamplesSignTest!$L$1:$L$65536))</definedName>
    <definedName name="PairedSignData2">OFFSET([4]PairedSamplesSignTest!$L$16,0,0,COUNT([4]PairedSamplesSignTest!$L$1:$L$65536))</definedName>
    <definedName name="PairedSignDataNonBlank1" localSheetId="4">OFFSET([3]PairedSamplesSignTest!$K$16,0,0,COUNTA([3]PairedSamplesSignTest!$K$1:$K$65536)-1)</definedName>
    <definedName name="PairedSignDataNonBlank1">OFFSET([4]PairedSamplesSignTest!$K$16,0,0,COUNTA([4]PairedSamplesSignTest!$K$1:$K$65536)-1)</definedName>
    <definedName name="PairedSignDataNonBlank2" localSheetId="4">OFFSET([3]PairedSamplesSignTest!$L$16,0,0,COUNTA([3]PairedSamplesSignTest!$L$1:$L$65536)-1)</definedName>
    <definedName name="PairedSignDataNonBlank2">OFFSET([4]PairedSamplesSignTest!$L$16,0,0,COUNTA([4]PairedSamplesSignTest!$L$1:$L$65536)-1)</definedName>
    <definedName name="PairedWilcoxon1" localSheetId="4">OFFSET([3]PairedSamplesWilcoxon!$K$16,0,0,COUNT([3]PairedSamplesWilcoxon!$K$1:$K$65536))</definedName>
    <definedName name="PairedWilcoxon1">OFFSET([4]PairedSamplesWilcoxon!$K$16,0,0,COUNT([4]PairedSamplesWilcoxon!$K$1:$K$65536))</definedName>
    <definedName name="PairedWilcoxon2" localSheetId="4">OFFSET([3]PairedSamplesWilcoxon!$L$16,0,0,COUNT([3]PairedSamplesWilcoxon!$L$1:$L$65536))</definedName>
    <definedName name="PairedWilcoxon2">OFFSET([4]PairedSamplesWilcoxon!$L$16,0,0,COUNT([4]PairedSamplesWilcoxon!$L$1:$L$65536))</definedName>
    <definedName name="PairedWilcoxonNonBlank1" localSheetId="4">OFFSET([3]PairedSamplesWilcoxon!$K$16,0,0,COUNTA([3]PairedSamplesWilcoxon!$K$1:$K$65536)-1)</definedName>
    <definedName name="PairedWilcoxonNonBlank1">OFFSET([4]PairedSamplesWilcoxon!$K$16,0,0,COUNTA([4]PairedSamplesWilcoxon!$K$1:$K$65536)-1)</definedName>
    <definedName name="PairedWilcoxonNonBlank2" localSheetId="4">OFFSET([3]PairedSamplesWilcoxon!$L$16,0,0,COUNTA([3]PairedSamplesWilcoxon!$L$1:$L$65536)-1)</definedName>
    <definedName name="PairedWilcoxonNonBlank2">OFFSET([4]PairedSamplesWilcoxon!$L$16,0,0,COUNTA([4]PairedSamplesWilcoxon!$L$1:$L$65536)-1)</definedName>
    <definedName name="_xlnm.Print_Area" localSheetId="16">'CAPABILITY STUDY'!$A$1:$AW$69</definedName>
    <definedName name="_xlnm.Print_Area" localSheetId="0">COVER!$C$2:$L$49</definedName>
    <definedName name="_xlnm.Print_Area" localSheetId="17">'DFMEA Ratings'!$A$1:$AI$21</definedName>
    <definedName name="_xlnm.Print_Area" localSheetId="5">DIMENSIONAL!$A$1:$L$45</definedName>
    <definedName name="_xlnm.Print_Area" localSheetId="12">FLOW!$A$1:$M$59</definedName>
    <definedName name="_xlnm.Print_Area" localSheetId="27">'Gage R'!$A$1:$AA$58</definedName>
    <definedName name="_xlnm.Print_Area" localSheetId="24">'GR&amp;R ANOVA'!$A$1:$N$77</definedName>
    <definedName name="_xlnm.Print_Area" localSheetId="21">'GR&amp;R ATT(Risk)'!$A$1:$M$129</definedName>
    <definedName name="_xlnm.Print_Area" localSheetId="22">'GR&amp;R VAR(TV)'!$A$1:$Z$47</definedName>
    <definedName name="_xlnm.Print_Area" localSheetId="26">'GR&amp;R X&amp;R'!$A$1:$AF$116</definedName>
    <definedName name="_xlnm.Print_Area" localSheetId="25">Graphical!$A$1:$N$437</definedName>
    <definedName name="_xlnm.Print_Area" localSheetId="1">INTRO!$B$1:$E$55</definedName>
    <definedName name="_xlnm.Print_Area" localSheetId="13">PFMEA!$A$1:$R$56</definedName>
    <definedName name="_xlnm.Print_Area" localSheetId="7">'PRINT NOTES'!$A$1:$L$45</definedName>
    <definedName name="_xlnm.Print_Area" localSheetId="8">'PRINT NOTES - PAINT'!$A$1:$L$43</definedName>
    <definedName name="_xlnm.Print_Area" localSheetId="9">'PRINT NOTES - WELDING'!$A$1:$L$45</definedName>
    <definedName name="_xlnm.Print_Area" localSheetId="4">PSW!$A$1:$S$72</definedName>
    <definedName name="_xlnm.Print_Area" localSheetId="15">TOOLING!$A$1:$L$49</definedName>
    <definedName name="_xlnm.Print_Titles" localSheetId="14">CPLAN!$1:$19</definedName>
    <definedName name="_xlnm.Print_Titles" localSheetId="11">DFMEA!$1:$19</definedName>
    <definedName name="_xlnm.Print_Titles" localSheetId="5">DIMENSIONAL!$1:$12</definedName>
    <definedName name="_xlnm.Print_Titles" localSheetId="12">FLOW!$1:$19</definedName>
    <definedName name="_xlnm.Print_Titles" localSheetId="24">'GR&amp;R ANOVA'!$1:$15</definedName>
    <definedName name="_xlnm.Print_Titles" localSheetId="21">'GR&amp;R ATT(Risk)'!$1:$15</definedName>
    <definedName name="_xlnm.Print_Titles" localSheetId="22">'GR&amp;R VAR(TV)'!$1:$4</definedName>
    <definedName name="_xlnm.Print_Titles" localSheetId="26">'GR&amp;R X&amp;R'!$1:$11</definedName>
    <definedName name="_xlnm.Print_Titles" localSheetId="25">Graphical!$1:$16</definedName>
    <definedName name="_xlnm.Print_Titles" localSheetId="13">PFMEA!$1:$21</definedName>
    <definedName name="_xlnm.Print_Titles" localSheetId="7">'PRINT NOTES'!$1:$12</definedName>
    <definedName name="_xlnm.Print_Titles" localSheetId="8">'PRINT NOTES - PAINT'!$1:$12</definedName>
    <definedName name="_xlnm.Print_Titles" localSheetId="9">'PRINT NOTES - WELDING'!$1:$12</definedName>
    <definedName name="_xlnm.Print_Titles" localSheetId="15">TOOLING!$1:$12</definedName>
    <definedName name="Range" localSheetId="4">OFFSET(#REF!,0,0,,COUNT(#REF!))</definedName>
    <definedName name="Range">OFFSET(#REF!,0,0,,COUNT(#REF!))</definedName>
    <definedName name="Rbar" localSheetId="4">OFFSET(#REF!,0,0,,COUNT(#REF!))</definedName>
    <definedName name="Rbar">OFFSET(#REF!,0,0,,COUNT(#REF!))</definedName>
    <definedName name="RPNlimit" localSheetId="13">PFMEA!$K$58</definedName>
    <definedName name="RPNlimit" localSheetId="4">#REF!</definedName>
    <definedName name="RPNlimit">#REF!</definedName>
    <definedName name="Sigma" localSheetId="4">OFFSET('[1]Behind the scenes'!$H$89,'[1]Behind the scenes'!$L$88,0,'[1]Behind the scenes'!$L$90)</definedName>
    <definedName name="Sigma">OFFSET('[2]Behind the scenes'!$H$89,'[2]Behind the scenes'!$L$88,0,'[2]Behind the scenes'!$L$90)</definedName>
    <definedName name="UCLr" localSheetId="4">OFFSET(#REF!,0,0,,COUNT(#REF!))</definedName>
    <definedName name="UCLr">OFFSET(#REF!,0,0,,COUNT(#REF!))</definedName>
    <definedName name="UCLx" localSheetId="4">OFFSET(#REF!,0,0,,COUNT(#REF!))</definedName>
    <definedName name="UCLx">OFFSET(#REF!,0,0,,COUNT(#REF!))</definedName>
    <definedName name="USL" localSheetId="4">OFFSET('[1]Behind the scenes'!$F$89,'[1]Behind the scenes'!$L$88,0,'[1]Behind the scenes'!$L$90)</definedName>
    <definedName name="USL">OFFSET('[2]Behind the scenes'!$F$89,'[2]Behind the scenes'!$L$88,0,'[2]Behind the scenes'!$L$90)</definedName>
    <definedName name="Xbar" localSheetId="4">OFFSET(#REF!,0,0,,COUNT(#REF!))</definedName>
    <definedName name="Xbar">OFFSET(#REF!,0,0,,COUNT(#REF!))</definedName>
    <definedName name="Xbarbar" localSheetId="4">OFFSET(#REF!,0,0,,COUNT(#REF!))</definedName>
    <definedName name="Xbarbar">OFFSET(#REF!,0,0,,COUNT(#REF!))</definedName>
    <definedName name="Xlabels" localSheetId="4">OFFSET('[1]Behind the scenes'!$A$89,'[1]Behind the scenes'!$L$88,0,'[1]Behind the scenes'!$L$90)</definedName>
    <definedName name="Xlabels">OFFSET('[2]Behind the scenes'!$A$89,'[2]Behind the scenes'!$L$88,0,'[2]Behind the scenes'!$L$90)</definedName>
    <definedName name="Z_4386EC60_C10A_4757_8A9B_A7E03A340F6B_.wvu.PrintArea" localSheetId="4" hidden="1">PSW!$A$1:$S$72</definedName>
  </definedNames>
  <calcPr calcId="152511"/>
</workbook>
</file>

<file path=xl/calcChain.xml><?xml version="1.0" encoding="utf-8"?>
<calcChain xmlns="http://schemas.openxmlformats.org/spreadsheetml/2006/main">
  <c r="J62" i="304" l="1"/>
  <c r="G18" i="304"/>
  <c r="E18" i="304"/>
  <c r="B18" i="304"/>
  <c r="B15" i="304"/>
  <c r="H12" i="304"/>
  <c r="B12" i="304"/>
  <c r="O6" i="304"/>
  <c r="F6" i="304"/>
  <c r="N2" i="304"/>
  <c r="D2" i="304"/>
  <c r="C3" i="303" l="1"/>
  <c r="I3" i="303"/>
  <c r="C4" i="303"/>
  <c r="I4" i="303"/>
  <c r="K6" i="303"/>
  <c r="C3" i="302"/>
  <c r="I3" i="302"/>
  <c r="C4" i="302"/>
  <c r="I4" i="302"/>
  <c r="K6" i="302"/>
  <c r="C3" i="283"/>
  <c r="I3" i="283"/>
  <c r="C4" i="283"/>
  <c r="I4" i="283"/>
  <c r="K6" i="283"/>
  <c r="AB7" i="276"/>
  <c r="AG7" i="276"/>
  <c r="I8" i="276"/>
  <c r="I9" i="276"/>
  <c r="O28" i="276"/>
  <c r="S28" i="276"/>
  <c r="O29" i="276"/>
  <c r="S29" i="276"/>
  <c r="G47" i="276"/>
  <c r="H47" i="276"/>
  <c r="I47" i="276"/>
  <c r="J47" i="276"/>
  <c r="K47" i="276"/>
  <c r="L47" i="276"/>
  <c r="M47" i="276"/>
  <c r="N47" i="276"/>
  <c r="O47" i="276"/>
  <c r="P47" i="276"/>
  <c r="Q47" i="276"/>
  <c r="R47" i="276"/>
  <c r="S47" i="276"/>
  <c r="T47" i="276"/>
  <c r="U47" i="276"/>
  <c r="V47" i="276"/>
  <c r="W47" i="276"/>
  <c r="X47" i="276"/>
  <c r="Y47" i="276"/>
  <c r="Z47" i="276"/>
  <c r="AA47" i="276"/>
  <c r="AB47" i="276"/>
  <c r="AC47" i="276"/>
  <c r="AD47" i="276"/>
  <c r="AE47" i="276"/>
  <c r="AF47" i="276"/>
  <c r="AG47" i="276"/>
  <c r="AH47" i="276"/>
  <c r="AI47" i="276"/>
  <c r="AJ47" i="276"/>
  <c r="AK47" i="276"/>
  <c r="AL47" i="276"/>
  <c r="AM47" i="276"/>
  <c r="AN47" i="276"/>
  <c r="AO47" i="276"/>
  <c r="AP47" i="276"/>
  <c r="AQ47" i="276"/>
  <c r="AR47" i="276"/>
  <c r="AS47" i="276"/>
  <c r="AT47" i="276"/>
  <c r="AU47" i="276"/>
  <c r="AV47" i="276"/>
  <c r="AW47" i="276"/>
  <c r="AX47" i="276"/>
  <c r="AY47" i="276"/>
  <c r="AZ47" i="276"/>
  <c r="BA47" i="276"/>
  <c r="BB47" i="276"/>
  <c r="BC47" i="276"/>
  <c r="BD47" i="276"/>
  <c r="BE47" i="276"/>
  <c r="BF47" i="276"/>
  <c r="BG47" i="276"/>
  <c r="BH47" i="276"/>
  <c r="BI47" i="276"/>
  <c r="BJ47" i="276"/>
  <c r="BK47" i="276"/>
  <c r="BL47" i="276"/>
  <c r="BM47" i="276"/>
  <c r="BN47" i="276"/>
  <c r="BO47" i="276"/>
  <c r="BP47" i="276"/>
  <c r="BQ47" i="276"/>
  <c r="BR47" i="276"/>
  <c r="BS47" i="276"/>
  <c r="BT47" i="276"/>
  <c r="BU47" i="276"/>
  <c r="BV47" i="276"/>
  <c r="BW47" i="276"/>
  <c r="BX47" i="276"/>
  <c r="BY47" i="276"/>
  <c r="BZ47" i="276"/>
  <c r="CA47" i="276"/>
  <c r="CB47" i="276"/>
  <c r="CC47" i="276"/>
  <c r="CD47" i="276"/>
  <c r="CE47" i="276"/>
  <c r="CF47" i="276"/>
  <c r="CG47" i="276"/>
  <c r="CH47" i="276"/>
  <c r="CI47" i="276"/>
  <c r="CJ47" i="276"/>
  <c r="CK47" i="276"/>
  <c r="CL47" i="276"/>
  <c r="CM47" i="276"/>
  <c r="CN47" i="276"/>
  <c r="CO47" i="276"/>
  <c r="CP47" i="276"/>
  <c r="CQ47" i="276"/>
  <c r="CR47" i="276"/>
  <c r="CS47" i="276"/>
  <c r="CT47" i="276"/>
  <c r="CU47" i="276"/>
  <c r="CV47" i="276"/>
  <c r="CW47" i="276"/>
  <c r="CX47" i="276"/>
  <c r="CY47" i="276"/>
  <c r="CZ47" i="276"/>
  <c r="DA47" i="276"/>
  <c r="C51" i="276"/>
  <c r="E51" i="276"/>
  <c r="C52" i="276"/>
  <c r="E52" i="276"/>
  <c r="C53" i="276"/>
  <c r="E53" i="276"/>
  <c r="C54" i="276"/>
  <c r="E54" i="276"/>
  <c r="C55" i="276"/>
  <c r="E55" i="276"/>
  <c r="C56" i="276"/>
  <c r="E56" i="276"/>
  <c r="C57" i="276"/>
  <c r="E57" i="276"/>
  <c r="C58" i="276"/>
  <c r="E58" i="276"/>
  <c r="C59" i="276"/>
  <c r="E59" i="276"/>
  <c r="C60" i="276"/>
  <c r="E60" i="276"/>
  <c r="C61" i="276"/>
  <c r="E61" i="276"/>
  <c r="C62" i="276"/>
  <c r="E62" i="276"/>
  <c r="C63" i="276"/>
  <c r="E63" i="276"/>
  <c r="C64" i="276"/>
  <c r="E64" i="276"/>
  <c r="C65" i="276"/>
  <c r="E65" i="276"/>
  <c r="C66" i="276"/>
  <c r="E66" i="276"/>
  <c r="C67" i="276"/>
  <c r="E67" i="276"/>
  <c r="C3" i="275"/>
  <c r="I3" i="275"/>
  <c r="C4" i="275"/>
  <c r="I4" i="275"/>
  <c r="K6" i="275"/>
  <c r="C11" i="207"/>
  <c r="Q9" i="207"/>
  <c r="V7" i="207"/>
  <c r="W11" i="207"/>
  <c r="C9" i="207"/>
  <c r="C7" i="207"/>
  <c r="C14" i="203"/>
  <c r="A12" i="203"/>
  <c r="A10" i="203"/>
  <c r="C11" i="201"/>
  <c r="J9" i="200"/>
  <c r="J8" i="200"/>
  <c r="L7" i="200"/>
  <c r="E9" i="200"/>
  <c r="E8" i="200"/>
  <c r="E7" i="200"/>
  <c r="C13" i="218"/>
  <c r="D9" i="218"/>
  <c r="B9" i="218"/>
  <c r="R22" i="218"/>
  <c r="R23" i="218"/>
  <c r="R24" i="218"/>
  <c r="R25" i="218"/>
  <c r="R26" i="218"/>
  <c r="R27" i="218"/>
  <c r="R28" i="218"/>
  <c r="R29" i="218"/>
  <c r="R30" i="218"/>
  <c r="R31" i="218"/>
  <c r="R32" i="218"/>
  <c r="R33" i="218"/>
  <c r="R34" i="218"/>
  <c r="R35" i="218"/>
  <c r="R36" i="218"/>
  <c r="R37" i="218"/>
  <c r="R38" i="218"/>
  <c r="R39" i="218"/>
  <c r="R40" i="218"/>
  <c r="R41" i="218"/>
  <c r="R42" i="218"/>
  <c r="R43" i="218"/>
  <c r="R44" i="218"/>
  <c r="R45" i="218"/>
  <c r="R46" i="218"/>
  <c r="R47" i="218"/>
  <c r="R48" i="218"/>
  <c r="R49" i="218"/>
  <c r="R50" i="218"/>
  <c r="R51" i="218"/>
  <c r="R52" i="218"/>
  <c r="R53" i="218"/>
  <c r="R54" i="218"/>
  <c r="R55" i="218"/>
  <c r="R56" i="218"/>
  <c r="K22" i="218"/>
  <c r="K23" i="218"/>
  <c r="K24" i="218"/>
  <c r="K25" i="218"/>
  <c r="K26" i="218"/>
  <c r="K27" i="218"/>
  <c r="K28" i="218"/>
  <c r="K29" i="218"/>
  <c r="K30" i="218"/>
  <c r="K31" i="218"/>
  <c r="K32" i="218"/>
  <c r="K33" i="218"/>
  <c r="K34" i="218"/>
  <c r="K35" i="218"/>
  <c r="K36" i="218"/>
  <c r="K37" i="218"/>
  <c r="K38" i="218"/>
  <c r="K39" i="218"/>
  <c r="K40" i="218"/>
  <c r="K41" i="218"/>
  <c r="K42" i="218"/>
  <c r="K43" i="218"/>
  <c r="K44" i="218"/>
  <c r="K45" i="218"/>
  <c r="K46" i="218"/>
  <c r="K47" i="218"/>
  <c r="K48" i="218"/>
  <c r="K49" i="218"/>
  <c r="K50" i="218"/>
  <c r="K51" i="218"/>
  <c r="K52" i="218"/>
  <c r="K53" i="218"/>
  <c r="K54" i="218"/>
  <c r="K55" i="218"/>
  <c r="K56" i="218"/>
  <c r="D18" i="209"/>
  <c r="D19" i="209"/>
  <c r="D20" i="209"/>
  <c r="D21" i="209"/>
  <c r="D22" i="209"/>
  <c r="D23" i="209"/>
  <c r="D24" i="209"/>
  <c r="D25" i="209"/>
  <c r="D26" i="209"/>
  <c r="D40" i="209"/>
  <c r="H40" i="209"/>
  <c r="D41" i="209"/>
  <c r="H41" i="209"/>
  <c r="D45" i="209"/>
  <c r="D46" i="209"/>
  <c r="B50" i="209"/>
  <c r="K18" i="211"/>
  <c r="M18" i="211"/>
  <c r="O18" i="211"/>
  <c r="P18" i="211"/>
  <c r="Q18" i="211"/>
  <c r="O19" i="211"/>
  <c r="P19" i="211"/>
  <c r="Q19" i="211"/>
  <c r="O20" i="211"/>
  <c r="P20" i="211"/>
  <c r="Q20" i="211"/>
  <c r="O21" i="211"/>
  <c r="P21" i="211"/>
  <c r="Q21" i="211"/>
  <c r="O22" i="211"/>
  <c r="P22" i="211"/>
  <c r="Q22" i="211"/>
  <c r="O23" i="211"/>
  <c r="P23" i="211"/>
  <c r="Q23" i="211"/>
  <c r="O24" i="211"/>
  <c r="P24" i="211"/>
  <c r="Q24" i="211"/>
  <c r="O25" i="211"/>
  <c r="P25" i="211"/>
  <c r="Q25" i="211"/>
  <c r="O26" i="211"/>
  <c r="P26" i="211"/>
  <c r="Q26" i="211"/>
  <c r="O27" i="211"/>
  <c r="P27" i="211"/>
  <c r="Q27" i="211"/>
  <c r="O28" i="211"/>
  <c r="P28" i="211"/>
  <c r="Q28" i="211"/>
  <c r="O29" i="211"/>
  <c r="P29" i="211"/>
  <c r="Q29" i="211"/>
  <c r="O30" i="211"/>
  <c r="P30" i="211"/>
  <c r="Q30" i="211"/>
  <c r="O31" i="211"/>
  <c r="P31" i="211"/>
  <c r="Q31" i="211"/>
  <c r="O32" i="211"/>
  <c r="P32" i="211"/>
  <c r="Q32" i="211"/>
  <c r="O33" i="211"/>
  <c r="P33" i="211"/>
  <c r="Q33" i="211"/>
  <c r="O34" i="211"/>
  <c r="P34" i="211"/>
  <c r="Q34" i="211"/>
  <c r="O35" i="211"/>
  <c r="P35" i="211"/>
  <c r="Q35" i="211"/>
  <c r="O36" i="211"/>
  <c r="P36" i="211"/>
  <c r="Q36" i="211"/>
  <c r="O37" i="211"/>
  <c r="P37" i="211"/>
  <c r="Q37" i="211"/>
  <c r="O38" i="211"/>
  <c r="P38" i="211"/>
  <c r="Q38" i="211"/>
  <c r="O39" i="211"/>
  <c r="P39" i="211"/>
  <c r="Q39" i="211"/>
  <c r="O40" i="211"/>
  <c r="P40" i="211"/>
  <c r="Q40" i="211"/>
  <c r="O41" i="211"/>
  <c r="P41" i="211"/>
  <c r="Q41" i="211"/>
  <c r="O42" i="211"/>
  <c r="P42" i="211"/>
  <c r="Q42" i="211"/>
  <c r="O43" i="211"/>
  <c r="P43" i="211"/>
  <c r="Q43" i="211"/>
  <c r="O44" i="211"/>
  <c r="P44" i="211"/>
  <c r="Q44" i="211"/>
  <c r="O45" i="211"/>
  <c r="P45" i="211"/>
  <c r="Q45" i="211"/>
  <c r="O46" i="211"/>
  <c r="P46" i="211"/>
  <c r="Q46" i="211"/>
  <c r="O47" i="211"/>
  <c r="P47" i="211"/>
  <c r="Q47" i="211"/>
  <c r="O48" i="211"/>
  <c r="P48" i="211"/>
  <c r="Q48" i="211"/>
  <c r="O49" i="211"/>
  <c r="P49" i="211"/>
  <c r="Q49" i="211"/>
  <c r="O50" i="211"/>
  <c r="P50" i="211"/>
  <c r="Q50" i="211"/>
  <c r="O51" i="211"/>
  <c r="P51" i="211"/>
  <c r="Q51" i="211"/>
  <c r="O52" i="211"/>
  <c r="P52" i="211"/>
  <c r="Q52" i="211"/>
  <c r="O53" i="211"/>
  <c r="P53" i="211"/>
  <c r="Q53" i="211"/>
  <c r="O54" i="211"/>
  <c r="P54" i="211"/>
  <c r="Q54" i="211"/>
  <c r="O55" i="211"/>
  <c r="P55" i="211"/>
  <c r="Q55" i="211"/>
  <c r="O56" i="211"/>
  <c r="P56" i="211"/>
  <c r="Q56" i="211"/>
  <c r="O57" i="211"/>
  <c r="P57" i="211"/>
  <c r="Q57" i="211"/>
  <c r="O62" i="211"/>
  <c r="P62" i="211"/>
  <c r="Q62" i="211"/>
  <c r="O63" i="211"/>
  <c r="P63" i="211"/>
  <c r="Q63" i="211"/>
  <c r="O64" i="211"/>
  <c r="P64" i="211"/>
  <c r="Q64" i="211"/>
  <c r="O65" i="211"/>
  <c r="P65" i="211"/>
  <c r="Q65" i="211"/>
  <c r="O66" i="211"/>
  <c r="P66" i="211"/>
  <c r="Q66" i="211"/>
  <c r="O67" i="211"/>
  <c r="P67" i="211"/>
  <c r="Q67" i="211"/>
  <c r="O68" i="211"/>
  <c r="P68" i="211"/>
  <c r="Q68" i="211"/>
  <c r="O69" i="211"/>
  <c r="P69" i="211"/>
  <c r="Q69" i="211"/>
  <c r="O70" i="211"/>
  <c r="P70" i="211"/>
  <c r="Q70" i="211"/>
  <c r="O71" i="211"/>
  <c r="P71" i="211"/>
  <c r="Q71" i="211"/>
  <c r="G84" i="211"/>
  <c r="I84" i="211"/>
  <c r="K84" i="211"/>
  <c r="S18" i="211"/>
  <c r="T18" i="211"/>
  <c r="U18" i="211"/>
  <c r="W18" i="211"/>
  <c r="X18" i="211"/>
  <c r="Y18" i="211"/>
  <c r="A19" i="211"/>
  <c r="K19" i="211"/>
  <c r="M19" i="211"/>
  <c r="S19" i="211"/>
  <c r="T19" i="211"/>
  <c r="U19" i="211"/>
  <c r="W19" i="211"/>
  <c r="X19" i="211"/>
  <c r="Y19" i="211"/>
  <c r="A20" i="211"/>
  <c r="K20" i="211"/>
  <c r="M20" i="211"/>
  <c r="S20" i="211"/>
  <c r="T20" i="211"/>
  <c r="U20" i="211"/>
  <c r="W20" i="211"/>
  <c r="X20" i="211"/>
  <c r="Y20" i="211"/>
  <c r="A21" i="211"/>
  <c r="K21" i="211"/>
  <c r="M21" i="211"/>
  <c r="S21" i="211"/>
  <c r="T21" i="211"/>
  <c r="U21" i="211"/>
  <c r="W21" i="211"/>
  <c r="X21" i="211"/>
  <c r="Y21" i="211"/>
  <c r="A22" i="211"/>
  <c r="K22" i="211"/>
  <c r="M22" i="211"/>
  <c r="S22" i="211"/>
  <c r="T22" i="211"/>
  <c r="U22" i="211"/>
  <c r="W22" i="211"/>
  <c r="X22" i="211"/>
  <c r="Y22" i="211"/>
  <c r="A23" i="211"/>
  <c r="K23" i="211"/>
  <c r="M23" i="211"/>
  <c r="S23" i="211"/>
  <c r="T23" i="211"/>
  <c r="U23" i="211"/>
  <c r="W23" i="211"/>
  <c r="X23" i="211"/>
  <c r="Y23" i="211"/>
  <c r="A24" i="211"/>
  <c r="K24" i="211"/>
  <c r="M24" i="211"/>
  <c r="S24" i="211"/>
  <c r="T24" i="211"/>
  <c r="U24" i="211"/>
  <c r="W24" i="211"/>
  <c r="X24" i="211"/>
  <c r="Y24" i="211"/>
  <c r="A25" i="211"/>
  <c r="K25" i="211"/>
  <c r="M25" i="211"/>
  <c r="S25" i="211"/>
  <c r="T25" i="211"/>
  <c r="U25" i="211"/>
  <c r="W25" i="211"/>
  <c r="X25" i="211"/>
  <c r="Y25" i="211"/>
  <c r="A26" i="211"/>
  <c r="K26" i="211"/>
  <c r="M26" i="211"/>
  <c r="S26" i="211"/>
  <c r="T26" i="211"/>
  <c r="U26" i="211"/>
  <c r="W26" i="211"/>
  <c r="X26" i="211"/>
  <c r="Y26" i="211"/>
  <c r="A27" i="211"/>
  <c r="K27" i="211"/>
  <c r="M27" i="211"/>
  <c r="S27" i="211"/>
  <c r="T27" i="211"/>
  <c r="U27" i="211"/>
  <c r="W27" i="211"/>
  <c r="X27" i="211"/>
  <c r="Y27" i="211"/>
  <c r="A28" i="211"/>
  <c r="K28" i="211"/>
  <c r="M28" i="211"/>
  <c r="S28" i="211"/>
  <c r="T28" i="211"/>
  <c r="U28" i="211"/>
  <c r="W28" i="211"/>
  <c r="X28" i="211"/>
  <c r="Y28" i="211"/>
  <c r="A29" i="211"/>
  <c r="K29" i="211"/>
  <c r="M29" i="211"/>
  <c r="S29" i="211"/>
  <c r="T29" i="211"/>
  <c r="U29" i="211"/>
  <c r="W29" i="211"/>
  <c r="X29" i="211"/>
  <c r="Y29" i="211"/>
  <c r="A30" i="211"/>
  <c r="K30" i="211"/>
  <c r="M30" i="211"/>
  <c r="S30" i="211"/>
  <c r="T30" i="211"/>
  <c r="U30" i="211"/>
  <c r="W30" i="211"/>
  <c r="X30" i="211"/>
  <c r="Y30" i="211"/>
  <c r="A31" i="211"/>
  <c r="K31" i="211"/>
  <c r="M31" i="211"/>
  <c r="S31" i="211"/>
  <c r="T31" i="211"/>
  <c r="U31" i="211"/>
  <c r="W31" i="211"/>
  <c r="X31" i="211"/>
  <c r="Y31" i="211"/>
  <c r="A32" i="211"/>
  <c r="K32" i="211"/>
  <c r="M32" i="211"/>
  <c r="S32" i="211"/>
  <c r="T32" i="211"/>
  <c r="U32" i="211"/>
  <c r="W32" i="211"/>
  <c r="X32" i="211"/>
  <c r="Y32" i="211"/>
  <c r="A33" i="211"/>
  <c r="K33" i="211"/>
  <c r="M33" i="211"/>
  <c r="S33" i="211"/>
  <c r="T33" i="211"/>
  <c r="U33" i="211"/>
  <c r="W33" i="211"/>
  <c r="X33" i="211"/>
  <c r="Y33" i="211"/>
  <c r="A34" i="211"/>
  <c r="K34" i="211"/>
  <c r="M34" i="211"/>
  <c r="S34" i="211"/>
  <c r="T34" i="211"/>
  <c r="U34" i="211"/>
  <c r="W34" i="211"/>
  <c r="X34" i="211"/>
  <c r="Y34" i="211"/>
  <c r="A35" i="211"/>
  <c r="K35" i="211"/>
  <c r="M35" i="211"/>
  <c r="S35" i="211"/>
  <c r="T35" i="211"/>
  <c r="U35" i="211"/>
  <c r="W35" i="211"/>
  <c r="X35" i="211"/>
  <c r="Y35" i="211"/>
  <c r="A36" i="211"/>
  <c r="K36" i="211"/>
  <c r="M36" i="211"/>
  <c r="S36" i="211"/>
  <c r="T36" i="211"/>
  <c r="U36" i="211"/>
  <c r="W36" i="211"/>
  <c r="X36" i="211"/>
  <c r="Y36" i="211"/>
  <c r="A37" i="211"/>
  <c r="K37" i="211"/>
  <c r="M37" i="211"/>
  <c r="S37" i="211"/>
  <c r="T37" i="211"/>
  <c r="U37" i="211"/>
  <c r="W37" i="211"/>
  <c r="X37" i="211"/>
  <c r="Y37" i="211"/>
  <c r="A38" i="211"/>
  <c r="K38" i="211"/>
  <c r="M38" i="211"/>
  <c r="S38" i="211"/>
  <c r="T38" i="211"/>
  <c r="U38" i="211"/>
  <c r="W38" i="211"/>
  <c r="X38" i="211"/>
  <c r="Y38" i="211"/>
  <c r="A39" i="211"/>
  <c r="K39" i="211"/>
  <c r="M39" i="211"/>
  <c r="S39" i="211"/>
  <c r="T39" i="211"/>
  <c r="U39" i="211"/>
  <c r="W39" i="211"/>
  <c r="X39" i="211"/>
  <c r="Y39" i="211"/>
  <c r="A40" i="211"/>
  <c r="K40" i="211"/>
  <c r="M40" i="211"/>
  <c r="S40" i="211"/>
  <c r="T40" i="211"/>
  <c r="U40" i="211"/>
  <c r="W40" i="211"/>
  <c r="X40" i="211"/>
  <c r="Y40" i="211"/>
  <c r="A41" i="211"/>
  <c r="K41" i="211"/>
  <c r="M41" i="211"/>
  <c r="S41" i="211"/>
  <c r="T41" i="211"/>
  <c r="U41" i="211"/>
  <c r="W41" i="211"/>
  <c r="X41" i="211"/>
  <c r="Y41" i="211"/>
  <c r="A42" i="211"/>
  <c r="K42" i="211"/>
  <c r="M42" i="211"/>
  <c r="S42" i="211"/>
  <c r="T42" i="211"/>
  <c r="U42" i="211"/>
  <c r="W42" i="211"/>
  <c r="X42" i="211"/>
  <c r="Y42" i="211"/>
  <c r="A43" i="211"/>
  <c r="K43" i="211"/>
  <c r="M43" i="211"/>
  <c r="S43" i="211"/>
  <c r="T43" i="211"/>
  <c r="U43" i="211"/>
  <c r="W43" i="211"/>
  <c r="X43" i="211"/>
  <c r="Y43" i="211"/>
  <c r="A44" i="211"/>
  <c r="K44" i="211"/>
  <c r="M44" i="211"/>
  <c r="S44" i="211"/>
  <c r="T44" i="211"/>
  <c r="U44" i="211"/>
  <c r="W44" i="211"/>
  <c r="X44" i="211"/>
  <c r="Y44" i="211"/>
  <c r="A45" i="211"/>
  <c r="K45" i="211"/>
  <c r="M45" i="211"/>
  <c r="S45" i="211"/>
  <c r="T45" i="211"/>
  <c r="U45" i="211"/>
  <c r="W45" i="211"/>
  <c r="X45" i="211"/>
  <c r="Y45" i="211"/>
  <c r="A46" i="211"/>
  <c r="K46" i="211"/>
  <c r="M46" i="211"/>
  <c r="S46" i="211"/>
  <c r="T46" i="211"/>
  <c r="U46" i="211"/>
  <c r="W46" i="211"/>
  <c r="X46" i="211"/>
  <c r="Y46" i="211"/>
  <c r="A47" i="211"/>
  <c r="K47" i="211"/>
  <c r="M47" i="211"/>
  <c r="S47" i="211"/>
  <c r="T47" i="211"/>
  <c r="U47" i="211"/>
  <c r="W47" i="211"/>
  <c r="X47" i="211"/>
  <c r="Y47" i="211"/>
  <c r="A48" i="211"/>
  <c r="K48" i="211"/>
  <c r="M48" i="211"/>
  <c r="S48" i="211"/>
  <c r="T48" i="211"/>
  <c r="U48" i="211"/>
  <c r="W48" i="211"/>
  <c r="X48" i="211"/>
  <c r="Y48" i="211"/>
  <c r="A49" i="211"/>
  <c r="K49" i="211"/>
  <c r="M49" i="211"/>
  <c r="S49" i="211"/>
  <c r="T49" i="211"/>
  <c r="U49" i="211"/>
  <c r="W49" i="211"/>
  <c r="X49" i="211"/>
  <c r="Y49" i="211"/>
  <c r="A50" i="211"/>
  <c r="K50" i="211"/>
  <c r="M50" i="211"/>
  <c r="S50" i="211"/>
  <c r="T50" i="211"/>
  <c r="U50" i="211"/>
  <c r="W50" i="211"/>
  <c r="X50" i="211"/>
  <c r="Y50" i="211"/>
  <c r="A51" i="211"/>
  <c r="K51" i="211"/>
  <c r="M51" i="211"/>
  <c r="S51" i="211"/>
  <c r="T51" i="211"/>
  <c r="U51" i="211"/>
  <c r="W51" i="211"/>
  <c r="X51" i="211"/>
  <c r="Y51" i="211"/>
  <c r="A52" i="211"/>
  <c r="K52" i="211"/>
  <c r="M52" i="211"/>
  <c r="S52" i="211"/>
  <c r="T52" i="211"/>
  <c r="U52" i="211"/>
  <c r="W52" i="211"/>
  <c r="X52" i="211"/>
  <c r="Y52" i="211"/>
  <c r="A53" i="211"/>
  <c r="K53" i="211"/>
  <c r="M53" i="211"/>
  <c r="S53" i="211"/>
  <c r="T53" i="211"/>
  <c r="U53" i="211"/>
  <c r="W53" i="211"/>
  <c r="X53" i="211"/>
  <c r="Y53" i="211"/>
  <c r="A54" i="211"/>
  <c r="K54" i="211"/>
  <c r="M54" i="211"/>
  <c r="S54" i="211"/>
  <c r="T54" i="211"/>
  <c r="U54" i="211"/>
  <c r="W54" i="211"/>
  <c r="X54" i="211"/>
  <c r="Y54" i="211"/>
  <c r="A55" i="211"/>
  <c r="K55" i="211"/>
  <c r="M55" i="211"/>
  <c r="S55" i="211"/>
  <c r="T55" i="211"/>
  <c r="U55" i="211"/>
  <c r="W55" i="211"/>
  <c r="X55" i="211"/>
  <c r="Y55" i="211"/>
  <c r="A56" i="211"/>
  <c r="K56" i="211"/>
  <c r="M56" i="211"/>
  <c r="S56" i="211"/>
  <c r="T56" i="211"/>
  <c r="U56" i="211"/>
  <c r="W56" i="211"/>
  <c r="X56" i="211"/>
  <c r="Y56" i="211"/>
  <c r="A57" i="211"/>
  <c r="K57" i="211"/>
  <c r="M57" i="211"/>
  <c r="S57" i="211"/>
  <c r="T57" i="211"/>
  <c r="U57" i="211"/>
  <c r="W57" i="211"/>
  <c r="X57" i="211"/>
  <c r="Y57" i="211"/>
  <c r="A62" i="211"/>
  <c r="K62" i="211"/>
  <c r="M62" i="211"/>
  <c r="S62" i="211"/>
  <c r="T62" i="211"/>
  <c r="U62" i="211"/>
  <c r="W62" i="211"/>
  <c r="X62" i="211"/>
  <c r="Y62" i="211"/>
  <c r="A63" i="211"/>
  <c r="K63" i="211"/>
  <c r="M63" i="211"/>
  <c r="S63" i="211"/>
  <c r="T63" i="211"/>
  <c r="U63" i="211"/>
  <c r="W63" i="211"/>
  <c r="X63" i="211"/>
  <c r="Y63" i="211"/>
  <c r="A64" i="211"/>
  <c r="K64" i="211"/>
  <c r="M64" i="211"/>
  <c r="S64" i="211"/>
  <c r="T64" i="211"/>
  <c r="U64" i="211"/>
  <c r="W64" i="211"/>
  <c r="X64" i="211"/>
  <c r="Y64" i="211"/>
  <c r="A65" i="211"/>
  <c r="K65" i="211"/>
  <c r="M65" i="211"/>
  <c r="S65" i="211"/>
  <c r="T65" i="211"/>
  <c r="U65" i="211"/>
  <c r="W65" i="211"/>
  <c r="X65" i="211"/>
  <c r="Y65" i="211"/>
  <c r="A66" i="211"/>
  <c r="K66" i="211"/>
  <c r="M66" i="211"/>
  <c r="S66" i="211"/>
  <c r="T66" i="211"/>
  <c r="U66" i="211"/>
  <c r="W66" i="211"/>
  <c r="X66" i="211"/>
  <c r="Y66" i="211"/>
  <c r="A67" i="211"/>
  <c r="K67" i="211"/>
  <c r="M67" i="211"/>
  <c r="S67" i="211"/>
  <c r="T67" i="211"/>
  <c r="U67" i="211"/>
  <c r="W67" i="211"/>
  <c r="X67" i="211"/>
  <c r="Y67" i="211"/>
  <c r="A68" i="211"/>
  <c r="K68" i="211"/>
  <c r="M68" i="211"/>
  <c r="S68" i="211"/>
  <c r="T68" i="211"/>
  <c r="U68" i="211"/>
  <c r="W68" i="211"/>
  <c r="X68" i="211"/>
  <c r="Y68" i="211"/>
  <c r="A69" i="211"/>
  <c r="K69" i="211"/>
  <c r="M69" i="211"/>
  <c r="S69" i="211"/>
  <c r="T69" i="211"/>
  <c r="U69" i="211"/>
  <c r="W69" i="211"/>
  <c r="X69" i="211"/>
  <c r="Y69" i="211"/>
  <c r="A70" i="211"/>
  <c r="K70" i="211"/>
  <c r="M70" i="211"/>
  <c r="S70" i="211"/>
  <c r="T70" i="211"/>
  <c r="U70" i="211"/>
  <c r="W70" i="211"/>
  <c r="X70" i="211"/>
  <c r="Y70" i="211"/>
  <c r="A71" i="211"/>
  <c r="K71" i="211"/>
  <c r="M71" i="211"/>
  <c r="S71" i="211"/>
  <c r="T71" i="211"/>
  <c r="U71" i="211"/>
  <c r="W71" i="211"/>
  <c r="X71" i="211"/>
  <c r="Y71" i="211"/>
  <c r="G82" i="211"/>
  <c r="G86" i="211"/>
  <c r="F116" i="211"/>
  <c r="C122" i="211"/>
  <c r="D117" i="211"/>
  <c r="R9" i="212"/>
  <c r="V9" i="212"/>
  <c r="R11" i="212"/>
  <c r="V11" i="212"/>
  <c r="O13" i="212"/>
  <c r="R13" i="212"/>
  <c r="V13" i="212"/>
  <c r="F15" i="212"/>
  <c r="H15" i="212"/>
  <c r="J15" i="212"/>
  <c r="O15" i="212"/>
  <c r="R15" i="212"/>
  <c r="T15" i="212"/>
  <c r="V15" i="212"/>
  <c r="X15" i="212"/>
  <c r="E16" i="212"/>
  <c r="F16" i="212"/>
  <c r="N19" i="212"/>
  <c r="N20" i="212"/>
  <c r="Q20" i="212"/>
  <c r="X20" i="212"/>
  <c r="A21" i="212"/>
  <c r="N21" i="212"/>
  <c r="Q21" i="212"/>
  <c r="X21" i="212"/>
  <c r="A22" i="212"/>
  <c r="C22" i="212"/>
  <c r="D22" i="212"/>
  <c r="D35" i="212"/>
  <c r="E22" i="212"/>
  <c r="F22" i="212"/>
  <c r="F35" i="212"/>
  <c r="G22" i="212"/>
  <c r="G35" i="212"/>
  <c r="H22" i="212"/>
  <c r="H35" i="212"/>
  <c r="I22" i="212"/>
  <c r="J22" i="212"/>
  <c r="J35" i="212"/>
  <c r="K22" i="212"/>
  <c r="K35" i="212"/>
  <c r="L22" i="212"/>
  <c r="L35" i="212"/>
  <c r="A23" i="212"/>
  <c r="C23" i="212"/>
  <c r="N23" i="212"/>
  <c r="D23" i="212"/>
  <c r="E23" i="212"/>
  <c r="F23" i="212"/>
  <c r="G23" i="212"/>
  <c r="H23" i="212"/>
  <c r="I23" i="212"/>
  <c r="J23" i="212"/>
  <c r="K23" i="212"/>
  <c r="L23" i="212"/>
  <c r="N24" i="212"/>
  <c r="Q24" i="212"/>
  <c r="X24" i="212"/>
  <c r="N25" i="212"/>
  <c r="Q25" i="212"/>
  <c r="X25" i="212"/>
  <c r="A26" i="212"/>
  <c r="N26" i="212"/>
  <c r="A27" i="212"/>
  <c r="A28" i="212"/>
  <c r="C27" i="212"/>
  <c r="N27" i="212"/>
  <c r="D27" i="212"/>
  <c r="E27" i="212"/>
  <c r="F27" i="212"/>
  <c r="G27" i="212"/>
  <c r="H27" i="212"/>
  <c r="I27" i="212"/>
  <c r="J27" i="212"/>
  <c r="K27" i="212"/>
  <c r="L27" i="212"/>
  <c r="C28" i="212"/>
  <c r="N28" i="212"/>
  <c r="D28" i="212"/>
  <c r="E28" i="212"/>
  <c r="F28" i="212"/>
  <c r="G28" i="212"/>
  <c r="H28" i="212"/>
  <c r="I28" i="212"/>
  <c r="J28" i="212"/>
  <c r="K28" i="212"/>
  <c r="L28" i="212"/>
  <c r="N29" i="212"/>
  <c r="X29" i="212"/>
  <c r="N30" i="212"/>
  <c r="Q30" i="212"/>
  <c r="X30" i="212"/>
  <c r="A31" i="212"/>
  <c r="N31" i="212"/>
  <c r="Q31" i="212"/>
  <c r="V31" i="212"/>
  <c r="A32" i="212"/>
  <c r="A33" i="212"/>
  <c r="A36" i="212"/>
  <c r="A37" i="212"/>
  <c r="C32" i="212"/>
  <c r="N32" i="212"/>
  <c r="D32" i="212"/>
  <c r="E32" i="212"/>
  <c r="F32" i="212"/>
  <c r="G32" i="212"/>
  <c r="H32" i="212"/>
  <c r="I32" i="212"/>
  <c r="J32" i="212"/>
  <c r="K32" i="212"/>
  <c r="L32" i="212"/>
  <c r="C33" i="212"/>
  <c r="N33" i="212"/>
  <c r="D33" i="212"/>
  <c r="E33" i="212"/>
  <c r="F33" i="212"/>
  <c r="G33" i="212"/>
  <c r="H33" i="212"/>
  <c r="I33" i="212"/>
  <c r="J33" i="212"/>
  <c r="K33" i="212"/>
  <c r="L33" i="212"/>
  <c r="N34" i="212"/>
  <c r="Q34" i="212"/>
  <c r="X34" i="212"/>
  <c r="E35" i="212"/>
  <c r="I35" i="212"/>
  <c r="N35" i="212"/>
  <c r="Q35" i="212"/>
  <c r="X35" i="212"/>
  <c r="N36" i="212"/>
  <c r="N37" i="212"/>
  <c r="A38" i="212"/>
  <c r="E38" i="212"/>
  <c r="G38" i="212"/>
  <c r="H38" i="212"/>
  <c r="I38" i="212"/>
  <c r="J38" i="212"/>
  <c r="N38" i="212"/>
  <c r="Q38" i="212"/>
  <c r="X38" i="212"/>
  <c r="Q39" i="212"/>
  <c r="X39" i="212"/>
  <c r="V40" i="212"/>
  <c r="R9" i="213"/>
  <c r="V9" i="213"/>
  <c r="R11" i="213"/>
  <c r="V11" i="213"/>
  <c r="O13" i="213"/>
  <c r="R13" i="213"/>
  <c r="V13" i="213"/>
  <c r="F15" i="213"/>
  <c r="H15" i="213"/>
  <c r="J15" i="213"/>
  <c r="O15" i="213"/>
  <c r="R15" i="213"/>
  <c r="T15" i="213"/>
  <c r="V15" i="213"/>
  <c r="X15" i="213"/>
  <c r="E16" i="213"/>
  <c r="F16" i="213"/>
  <c r="N19" i="213"/>
  <c r="N20" i="213"/>
  <c r="Q20" i="213"/>
  <c r="X20" i="213"/>
  <c r="A21" i="213"/>
  <c r="N21" i="213"/>
  <c r="Q21" i="213"/>
  <c r="X21" i="213"/>
  <c r="A22" i="213"/>
  <c r="C22" i="213"/>
  <c r="D22" i="213"/>
  <c r="D35" i="213"/>
  <c r="E22" i="213"/>
  <c r="E35" i="213"/>
  <c r="F22" i="213"/>
  <c r="F35" i="213"/>
  <c r="G22" i="213"/>
  <c r="H22" i="213"/>
  <c r="H35" i="213"/>
  <c r="I22" i="213"/>
  <c r="I35" i="213"/>
  <c r="J22" i="213"/>
  <c r="J35" i="213"/>
  <c r="K22" i="213"/>
  <c r="L22" i="213"/>
  <c r="L35" i="213"/>
  <c r="N22" i="213"/>
  <c r="A23" i="213"/>
  <c r="C23" i="213"/>
  <c r="D23" i="213"/>
  <c r="E23" i="213"/>
  <c r="F23" i="213"/>
  <c r="G23" i="213"/>
  <c r="H23" i="213"/>
  <c r="I23" i="213"/>
  <c r="J23" i="213"/>
  <c r="K23" i="213"/>
  <c r="L23" i="213"/>
  <c r="N23" i="213"/>
  <c r="N24" i="213"/>
  <c r="Q24" i="213"/>
  <c r="X24" i="213"/>
  <c r="N25" i="213"/>
  <c r="Q25" i="213"/>
  <c r="X25" i="213"/>
  <c r="A26" i="213"/>
  <c r="A27" i="213"/>
  <c r="A28" i="213"/>
  <c r="N26" i="213"/>
  <c r="C27" i="213"/>
  <c r="D27" i="213"/>
  <c r="E27" i="213"/>
  <c r="F27" i="213"/>
  <c r="G27" i="213"/>
  <c r="H27" i="213"/>
  <c r="I27" i="213"/>
  <c r="J27" i="213"/>
  <c r="K27" i="213"/>
  <c r="L27" i="213"/>
  <c r="N27" i="213"/>
  <c r="C28" i="213"/>
  <c r="D28" i="213"/>
  <c r="E28" i="213"/>
  <c r="F28" i="213"/>
  <c r="G28" i="213"/>
  <c r="H28" i="213"/>
  <c r="I28" i="213"/>
  <c r="J28" i="213"/>
  <c r="K28" i="213"/>
  <c r="L28" i="213"/>
  <c r="N28" i="213"/>
  <c r="N29" i="213"/>
  <c r="X29" i="213"/>
  <c r="N30" i="213"/>
  <c r="Q30" i="213"/>
  <c r="X30" i="213"/>
  <c r="A31" i="213"/>
  <c r="N31" i="213"/>
  <c r="Q31" i="213"/>
  <c r="V31" i="213"/>
  <c r="A32" i="213"/>
  <c r="C32" i="213"/>
  <c r="N32" i="213"/>
  <c r="D32" i="213"/>
  <c r="E32" i="213"/>
  <c r="F32" i="213"/>
  <c r="G32" i="213"/>
  <c r="H32" i="213"/>
  <c r="I32" i="213"/>
  <c r="J32" i="213"/>
  <c r="K32" i="213"/>
  <c r="L32" i="213"/>
  <c r="A33" i="213"/>
  <c r="C33" i="213"/>
  <c r="N33" i="213"/>
  <c r="D33" i="213"/>
  <c r="E33" i="213"/>
  <c r="F33" i="213"/>
  <c r="G33" i="213"/>
  <c r="H33" i="213"/>
  <c r="I33" i="213"/>
  <c r="J33" i="213"/>
  <c r="K33" i="213"/>
  <c r="L33" i="213"/>
  <c r="N34" i="213"/>
  <c r="Q34" i="213"/>
  <c r="X34" i="213"/>
  <c r="C35" i="213"/>
  <c r="G35" i="213"/>
  <c r="K35" i="213"/>
  <c r="N35" i="213"/>
  <c r="Q35" i="213"/>
  <c r="X35" i="213"/>
  <c r="A36" i="213"/>
  <c r="N36" i="213"/>
  <c r="A37" i="213"/>
  <c r="A38" i="213"/>
  <c r="N37" i="213"/>
  <c r="E38" i="213"/>
  <c r="G38" i="213"/>
  <c r="H38" i="213"/>
  <c r="I38" i="213"/>
  <c r="J38" i="213"/>
  <c r="N38" i="213"/>
  <c r="Q38" i="213"/>
  <c r="X38" i="213"/>
  <c r="Q39" i="213"/>
  <c r="X39" i="213"/>
  <c r="V40" i="213"/>
  <c r="F15" i="214"/>
  <c r="H15" i="214"/>
  <c r="J15" i="214"/>
  <c r="E16" i="214"/>
  <c r="F16" i="214"/>
  <c r="N19" i="214"/>
  <c r="Q19" i="214"/>
  <c r="R19" i="214"/>
  <c r="W19" i="214"/>
  <c r="X19" i="214"/>
  <c r="Y19" i="214"/>
  <c r="N20" i="214"/>
  <c r="Q20" i="214"/>
  <c r="R20" i="214"/>
  <c r="W20" i="214"/>
  <c r="X20" i="214"/>
  <c r="Y20" i="214"/>
  <c r="AB20" i="214"/>
  <c r="AC20" i="214"/>
  <c r="AD20" i="214"/>
  <c r="AE20" i="214"/>
  <c r="AF20" i="214"/>
  <c r="AG20" i="214"/>
  <c r="AH20" i="214"/>
  <c r="AI20" i="214"/>
  <c r="AJ20" i="214"/>
  <c r="AK20" i="214"/>
  <c r="A21" i="214"/>
  <c r="N21" i="214"/>
  <c r="Q21" i="214"/>
  <c r="W21" i="214"/>
  <c r="X21" i="214"/>
  <c r="Y21" i="214"/>
  <c r="AB21" i="214"/>
  <c r="AC21" i="214"/>
  <c r="AD21" i="214"/>
  <c r="AE21" i="214"/>
  <c r="AF21" i="214"/>
  <c r="AG21" i="214"/>
  <c r="AH21" i="214"/>
  <c r="AI21" i="214"/>
  <c r="AJ21" i="214"/>
  <c r="AK21" i="214"/>
  <c r="A22" i="214"/>
  <c r="C22" i="214"/>
  <c r="D22" i="214"/>
  <c r="E22" i="214"/>
  <c r="F22" i="214"/>
  <c r="G22" i="214"/>
  <c r="G35" i="214"/>
  <c r="H22" i="214"/>
  <c r="I22" i="214"/>
  <c r="I35" i="214"/>
  <c r="J22" i="214"/>
  <c r="K22" i="214"/>
  <c r="K35" i="214"/>
  <c r="L22" i="214"/>
  <c r="W22" i="214"/>
  <c r="X22" i="214"/>
  <c r="Y22" i="214"/>
  <c r="AB22" i="214"/>
  <c r="AC22" i="214"/>
  <c r="AD22" i="214"/>
  <c r="AE22" i="214"/>
  <c r="AF22" i="214"/>
  <c r="AG22" i="214"/>
  <c r="AH22" i="214"/>
  <c r="AI22" i="214"/>
  <c r="AJ22" i="214"/>
  <c r="AK22" i="214"/>
  <c r="A23" i="214"/>
  <c r="C23" i="214"/>
  <c r="D23" i="214"/>
  <c r="E23" i="214"/>
  <c r="F23" i="214"/>
  <c r="G23" i="214"/>
  <c r="H23" i="214"/>
  <c r="I23" i="214"/>
  <c r="J23" i="214"/>
  <c r="K23" i="214"/>
  <c r="L23" i="214"/>
  <c r="N23" i="214"/>
  <c r="W23" i="214"/>
  <c r="X23" i="214"/>
  <c r="Y23" i="214"/>
  <c r="AB23" i="214"/>
  <c r="AC23" i="214"/>
  <c r="AD23" i="214"/>
  <c r="AE23" i="214"/>
  <c r="AF23" i="214"/>
  <c r="AG23" i="214"/>
  <c r="AH23" i="214"/>
  <c r="AI23" i="214"/>
  <c r="AJ23" i="214"/>
  <c r="AK23" i="214"/>
  <c r="N24" i="214"/>
  <c r="W24" i="214"/>
  <c r="X24" i="214"/>
  <c r="Y24" i="214"/>
  <c r="AB24" i="214"/>
  <c r="AC24" i="214"/>
  <c r="AD24" i="214"/>
  <c r="AE24" i="214"/>
  <c r="AF24" i="214"/>
  <c r="AG24" i="214"/>
  <c r="AH24" i="214"/>
  <c r="AI24" i="214"/>
  <c r="AJ24" i="214"/>
  <c r="AK24" i="214"/>
  <c r="N25" i="214"/>
  <c r="Q25" i="214"/>
  <c r="W25" i="214"/>
  <c r="X25" i="214"/>
  <c r="Y25" i="214"/>
  <c r="AB25" i="214"/>
  <c r="AC25" i="214"/>
  <c r="AD25" i="214"/>
  <c r="AE25" i="214"/>
  <c r="AF25" i="214"/>
  <c r="AG25" i="214"/>
  <c r="AH25" i="214"/>
  <c r="AI25" i="214"/>
  <c r="AJ25" i="214"/>
  <c r="AK25" i="214"/>
  <c r="A26" i="214"/>
  <c r="N26" i="214"/>
  <c r="Q26" i="214"/>
  <c r="R26" i="214"/>
  <c r="U26" i="214"/>
  <c r="W26" i="214"/>
  <c r="X26" i="214"/>
  <c r="Y26" i="214"/>
  <c r="AB26" i="214"/>
  <c r="AC26" i="214"/>
  <c r="AD26" i="214"/>
  <c r="AE26" i="214"/>
  <c r="AF26" i="214"/>
  <c r="AG26" i="214"/>
  <c r="AH26" i="214"/>
  <c r="AI26" i="214"/>
  <c r="AJ26" i="214"/>
  <c r="AK26" i="214"/>
  <c r="A27" i="214"/>
  <c r="C27" i="214"/>
  <c r="D27" i="214"/>
  <c r="E27" i="214"/>
  <c r="F27" i="214"/>
  <c r="G27" i="214"/>
  <c r="H27" i="214"/>
  <c r="I27" i="214"/>
  <c r="J27" i="214"/>
  <c r="K27" i="214"/>
  <c r="L27" i="214"/>
  <c r="N27" i="214"/>
  <c r="Q27" i="214"/>
  <c r="R27" i="214"/>
  <c r="U27" i="214"/>
  <c r="W27" i="214"/>
  <c r="X27" i="214"/>
  <c r="Y27" i="214"/>
  <c r="AB27" i="214"/>
  <c r="AC27" i="214"/>
  <c r="AD27" i="214"/>
  <c r="AE27" i="214"/>
  <c r="AF27" i="214"/>
  <c r="AG27" i="214"/>
  <c r="AH27" i="214"/>
  <c r="AI27" i="214"/>
  <c r="AJ27" i="214"/>
  <c r="AK27" i="214"/>
  <c r="A28" i="214"/>
  <c r="C28" i="214"/>
  <c r="D28" i="214"/>
  <c r="E28" i="214"/>
  <c r="F28" i="214"/>
  <c r="G28" i="214"/>
  <c r="H28" i="214"/>
  <c r="I28" i="214"/>
  <c r="J28" i="214"/>
  <c r="K28" i="214"/>
  <c r="L28" i="214"/>
  <c r="N28" i="214"/>
  <c r="Q28" i="214"/>
  <c r="R28" i="214"/>
  <c r="U28" i="214"/>
  <c r="W28" i="214"/>
  <c r="X28" i="214"/>
  <c r="Y28" i="214"/>
  <c r="AB28" i="214"/>
  <c r="AC28" i="214"/>
  <c r="AD28" i="214"/>
  <c r="AE28" i="214"/>
  <c r="AF28" i="214"/>
  <c r="AG28" i="214"/>
  <c r="AH28" i="214"/>
  <c r="AI28" i="214"/>
  <c r="AJ28" i="214"/>
  <c r="AK28" i="214"/>
  <c r="N29" i="214"/>
  <c r="Q29" i="214"/>
  <c r="R29" i="214"/>
  <c r="U29" i="214"/>
  <c r="W29" i="214"/>
  <c r="X29" i="214"/>
  <c r="Y29" i="214"/>
  <c r="N30" i="214"/>
  <c r="Q30" i="214"/>
  <c r="R30" i="214"/>
  <c r="W30" i="214"/>
  <c r="X30" i="214"/>
  <c r="Y30" i="214"/>
  <c r="A31" i="214"/>
  <c r="A32" i="214"/>
  <c r="N31" i="214"/>
  <c r="Q31" i="214"/>
  <c r="R31" i="214"/>
  <c r="U31" i="214"/>
  <c r="W31" i="214"/>
  <c r="X31" i="214"/>
  <c r="Y31" i="214"/>
  <c r="C32" i="214"/>
  <c r="N32" i="214"/>
  <c r="D32" i="214"/>
  <c r="E32" i="214"/>
  <c r="F32" i="214"/>
  <c r="G32" i="214"/>
  <c r="H32" i="214"/>
  <c r="I32" i="214"/>
  <c r="J32" i="214"/>
  <c r="K32" i="214"/>
  <c r="L32" i="214"/>
  <c r="Q32" i="214"/>
  <c r="R32" i="214"/>
  <c r="U32" i="214"/>
  <c r="W32" i="214"/>
  <c r="X32" i="214"/>
  <c r="Y32" i="214"/>
  <c r="A33" i="214"/>
  <c r="C33" i="214"/>
  <c r="D33" i="214"/>
  <c r="E33" i="214"/>
  <c r="F33" i="214"/>
  <c r="G33" i="214"/>
  <c r="H33" i="214"/>
  <c r="I33" i="214"/>
  <c r="J33" i="214"/>
  <c r="K33" i="214"/>
  <c r="L33" i="214"/>
  <c r="N33" i="214"/>
  <c r="Q33" i="214"/>
  <c r="R33" i="214"/>
  <c r="U33" i="214"/>
  <c r="W33" i="214"/>
  <c r="X33" i="214"/>
  <c r="Y33" i="214"/>
  <c r="N34" i="214"/>
  <c r="Q34" i="214"/>
  <c r="R34" i="214"/>
  <c r="U34" i="214"/>
  <c r="W34" i="214"/>
  <c r="X34" i="214"/>
  <c r="Y34" i="214"/>
  <c r="D35" i="214"/>
  <c r="E35" i="214"/>
  <c r="F35" i="214"/>
  <c r="H35" i="214"/>
  <c r="J35" i="214"/>
  <c r="L35" i="214"/>
  <c r="N35" i="214"/>
  <c r="Q35" i="214"/>
  <c r="R35" i="214"/>
  <c r="U35" i="214"/>
  <c r="W35" i="214"/>
  <c r="X35" i="214"/>
  <c r="Y35" i="214"/>
  <c r="W36" i="214"/>
  <c r="X36" i="214"/>
  <c r="Y36" i="214"/>
  <c r="W37" i="214"/>
  <c r="X37" i="214"/>
  <c r="Y37" i="214"/>
  <c r="W38" i="214"/>
  <c r="X38" i="214"/>
  <c r="Y38" i="214"/>
  <c r="W39" i="214"/>
  <c r="X39" i="214"/>
  <c r="Y39" i="214"/>
  <c r="E40" i="214"/>
  <c r="E42" i="214"/>
  <c r="G40" i="214"/>
  <c r="I40" i="214"/>
  <c r="G43" i="214"/>
  <c r="I43" i="214"/>
  <c r="W40" i="214"/>
  <c r="X40" i="214"/>
  <c r="Y40" i="214"/>
  <c r="G41" i="214"/>
  <c r="I41" i="214"/>
  <c r="W41" i="214"/>
  <c r="X41" i="214"/>
  <c r="Y41" i="214"/>
  <c r="G42" i="214"/>
  <c r="I42" i="214"/>
  <c r="W42" i="214"/>
  <c r="X42" i="214"/>
  <c r="Y42" i="214"/>
  <c r="W43" i="214"/>
  <c r="X43" i="214"/>
  <c r="Y43" i="214"/>
  <c r="G44" i="214"/>
  <c r="W44" i="214"/>
  <c r="X44" i="214"/>
  <c r="Y44" i="214"/>
  <c r="W45" i="214"/>
  <c r="X45" i="214"/>
  <c r="Y45" i="214"/>
  <c r="W46" i="214"/>
  <c r="X46" i="214"/>
  <c r="Y46" i="214"/>
  <c r="W47" i="214"/>
  <c r="X47" i="214"/>
  <c r="Y47" i="214"/>
  <c r="W48" i="214"/>
  <c r="X48" i="214"/>
  <c r="Y48" i="214"/>
  <c r="Q53" i="214"/>
  <c r="F54" i="214"/>
  <c r="H54" i="214"/>
  <c r="K54" i="214"/>
  <c r="F55" i="214"/>
  <c r="H55" i="214"/>
  <c r="K55" i="214"/>
  <c r="F56" i="214"/>
  <c r="H56" i="214"/>
  <c r="K56" i="214"/>
  <c r="F57" i="214"/>
  <c r="H57" i="214"/>
  <c r="F58" i="214"/>
  <c r="H58" i="214"/>
  <c r="D62" i="214"/>
  <c r="M62" i="214"/>
  <c r="C19" i="215"/>
  <c r="E16" i="215"/>
  <c r="D19" i="215"/>
  <c r="E19" i="215"/>
  <c r="F19" i="215"/>
  <c r="G19" i="215"/>
  <c r="H19" i="215"/>
  <c r="I19" i="215"/>
  <c r="J19" i="215"/>
  <c r="K19" i="215"/>
  <c r="L19" i="215"/>
  <c r="N19" i="215"/>
  <c r="C20" i="215"/>
  <c r="D20" i="215"/>
  <c r="E20" i="215"/>
  <c r="F20" i="215"/>
  <c r="G20" i="215"/>
  <c r="H20" i="215"/>
  <c r="I20" i="215"/>
  <c r="J20" i="215"/>
  <c r="K20" i="215"/>
  <c r="L20" i="215"/>
  <c r="N20" i="215"/>
  <c r="A21" i="215"/>
  <c r="C21" i="215"/>
  <c r="D21" i="215"/>
  <c r="E21" i="215"/>
  <c r="F21" i="215"/>
  <c r="G21" i="215"/>
  <c r="H21" i="215"/>
  <c r="I21" i="215"/>
  <c r="J21" i="215"/>
  <c r="K21" i="215"/>
  <c r="L21" i="215"/>
  <c r="N21" i="215"/>
  <c r="A22" i="215"/>
  <c r="A23" i="215"/>
  <c r="F22" i="215"/>
  <c r="T87" i="215"/>
  <c r="G22" i="215"/>
  <c r="J22" i="215"/>
  <c r="K22" i="215"/>
  <c r="K35" i="215"/>
  <c r="F23" i="215"/>
  <c r="G23" i="215"/>
  <c r="J23" i="215"/>
  <c r="X88" i="215"/>
  <c r="K23" i="215"/>
  <c r="Y88" i="215"/>
  <c r="C24" i="215"/>
  <c r="N24" i="215"/>
  <c r="D24" i="215"/>
  <c r="D27" i="215"/>
  <c r="AB87" i="215"/>
  <c r="E24" i="215"/>
  <c r="F24" i="215"/>
  <c r="G24" i="215"/>
  <c r="G28" i="215"/>
  <c r="H24" i="215"/>
  <c r="I24" i="215"/>
  <c r="J24" i="215"/>
  <c r="K24" i="215"/>
  <c r="L24" i="215"/>
  <c r="L28" i="215"/>
  <c r="C25" i="215"/>
  <c r="D25" i="215"/>
  <c r="E25" i="215"/>
  <c r="F25" i="215"/>
  <c r="G25" i="215"/>
  <c r="BE251" i="215"/>
  <c r="H25" i="215"/>
  <c r="I25" i="215"/>
  <c r="J25" i="215"/>
  <c r="K25" i="215"/>
  <c r="AV170" i="215"/>
  <c r="L25" i="215"/>
  <c r="A26" i="215"/>
  <c r="C26" i="215"/>
  <c r="D26" i="215"/>
  <c r="E26" i="215"/>
  <c r="AN164" i="215"/>
  <c r="F26" i="215"/>
  <c r="G26" i="215"/>
  <c r="BF251" i="215"/>
  <c r="H26" i="215"/>
  <c r="I26" i="215"/>
  <c r="J26" i="215"/>
  <c r="K26" i="215"/>
  <c r="AW170" i="215"/>
  <c r="L26" i="215"/>
  <c r="A27" i="215"/>
  <c r="C27" i="215"/>
  <c r="E27" i="215"/>
  <c r="G27" i="215"/>
  <c r="H27" i="215"/>
  <c r="AF87" i="215"/>
  <c r="I27" i="215"/>
  <c r="K27" i="215"/>
  <c r="L27" i="215"/>
  <c r="AJ87" i="215"/>
  <c r="A28" i="215"/>
  <c r="C28" i="215"/>
  <c r="N28" i="215"/>
  <c r="D28" i="215"/>
  <c r="E28" i="215"/>
  <c r="H28" i="215"/>
  <c r="AF88" i="215"/>
  <c r="I28" i="215"/>
  <c r="AG88" i="215"/>
  <c r="K28" i="215"/>
  <c r="AI88" i="215"/>
  <c r="C29" i="215"/>
  <c r="D29" i="215"/>
  <c r="E29" i="215"/>
  <c r="F29" i="215"/>
  <c r="F33" i="215"/>
  <c r="G29" i="215"/>
  <c r="H29" i="215"/>
  <c r="I29" i="215"/>
  <c r="J29" i="215"/>
  <c r="K29" i="215"/>
  <c r="L29" i="215"/>
  <c r="N29" i="215"/>
  <c r="C30" i="215"/>
  <c r="D30" i="215"/>
  <c r="E30" i="215"/>
  <c r="AP252" i="215"/>
  <c r="F30" i="215"/>
  <c r="G30" i="215"/>
  <c r="H30" i="215"/>
  <c r="I30" i="215"/>
  <c r="AG171" i="215"/>
  <c r="J30" i="215"/>
  <c r="K30" i="215"/>
  <c r="L30" i="215"/>
  <c r="N30" i="215"/>
  <c r="A31" i="215"/>
  <c r="C31" i="215"/>
  <c r="D31" i="215"/>
  <c r="E31" i="215"/>
  <c r="AQ165" i="215"/>
  <c r="F31" i="215"/>
  <c r="G31" i="215"/>
  <c r="H31" i="215"/>
  <c r="I31" i="215"/>
  <c r="AH258" i="215"/>
  <c r="J31" i="215"/>
  <c r="K31" i="215"/>
  <c r="L31" i="215"/>
  <c r="N31" i="215"/>
  <c r="A32" i="215"/>
  <c r="C32" i="215"/>
  <c r="N32" i="215"/>
  <c r="E32" i="215"/>
  <c r="F32" i="215"/>
  <c r="G32" i="215"/>
  <c r="I32" i="215"/>
  <c r="J32" i="215"/>
  <c r="K32" i="215"/>
  <c r="A33" i="215"/>
  <c r="C33" i="215"/>
  <c r="E33" i="215"/>
  <c r="AM88" i="215"/>
  <c r="G33" i="215"/>
  <c r="AO88" i="215"/>
  <c r="I33" i="215"/>
  <c r="J33" i="215"/>
  <c r="K33" i="215"/>
  <c r="N33" i="215"/>
  <c r="F35" i="215"/>
  <c r="G35" i="215"/>
  <c r="Q45" i="215"/>
  <c r="Q46" i="215"/>
  <c r="R46" i="215"/>
  <c r="AB90" i="215"/>
  <c r="AL92" i="215"/>
  <c r="W46" i="215"/>
  <c r="AG90" i="215"/>
  <c r="AQ92" i="215"/>
  <c r="U87" i="215"/>
  <c r="Y87" i="215"/>
  <c r="AC87" i="215"/>
  <c r="AE87" i="215"/>
  <c r="AG87" i="215"/>
  <c r="AK87" i="215"/>
  <c r="AM87" i="215"/>
  <c r="AO87" i="215"/>
  <c r="AQ87" i="215"/>
  <c r="AS87" i="215"/>
  <c r="T88" i="215"/>
  <c r="U88" i="215"/>
  <c r="AA88" i="215"/>
  <c r="AB88" i="215"/>
  <c r="AC88" i="215"/>
  <c r="AE88" i="215"/>
  <c r="AJ88" i="215"/>
  <c r="AK88" i="215"/>
  <c r="AN88" i="215"/>
  <c r="AQ88" i="215"/>
  <c r="AR88" i="215"/>
  <c r="AS88" i="215"/>
  <c r="AA90" i="215"/>
  <c r="AK92" i="215"/>
  <c r="R163" i="215"/>
  <c r="S163" i="215"/>
  <c r="Z163" i="215"/>
  <c r="AA163" i="215"/>
  <c r="AB163" i="215"/>
  <c r="AJ163" i="215"/>
  <c r="AK163" i="215"/>
  <c r="AR163" i="215"/>
  <c r="BA163" i="215"/>
  <c r="BB163" i="215"/>
  <c r="BC163" i="215"/>
  <c r="U164" i="215"/>
  <c r="AC164" i="215"/>
  <c r="AD164" i="215"/>
  <c r="AE164" i="215"/>
  <c r="AL164" i="215"/>
  <c r="AM164" i="215"/>
  <c r="AU164" i="215"/>
  <c r="AV164" i="215"/>
  <c r="AW164" i="215"/>
  <c r="BF164" i="215"/>
  <c r="W165" i="215"/>
  <c r="X165" i="215"/>
  <c r="Y165" i="215"/>
  <c r="AF165" i="215"/>
  <c r="AG165" i="215"/>
  <c r="AH165" i="215"/>
  <c r="AO165" i="215"/>
  <c r="AP165" i="215"/>
  <c r="AX165" i="215"/>
  <c r="AY165" i="215"/>
  <c r="AZ165" i="215"/>
  <c r="BG165" i="215"/>
  <c r="BH165" i="215"/>
  <c r="BI165" i="215"/>
  <c r="Q169" i="215"/>
  <c r="R169" i="215"/>
  <c r="S169" i="215"/>
  <c r="AA169" i="215"/>
  <c r="AB169" i="215"/>
  <c r="AI169" i="215"/>
  <c r="AR169" i="215"/>
  <c r="AS169" i="215"/>
  <c r="AT169" i="215"/>
  <c r="BA169" i="215"/>
  <c r="BB169" i="215"/>
  <c r="BC169" i="215"/>
  <c r="T170" i="215"/>
  <c r="U170" i="215"/>
  <c r="V170" i="215"/>
  <c r="AC170" i="215"/>
  <c r="AD170" i="215"/>
  <c r="AE170" i="215"/>
  <c r="AL170" i="215"/>
  <c r="AM170" i="215"/>
  <c r="AN170" i="215"/>
  <c r="AU170" i="215"/>
  <c r="BD170" i="215"/>
  <c r="BE170" i="215"/>
  <c r="BF170" i="215"/>
  <c r="X171" i="215"/>
  <c r="Y171" i="215"/>
  <c r="AF171" i="215"/>
  <c r="AH171" i="215"/>
  <c r="AO171" i="215"/>
  <c r="AP171" i="215"/>
  <c r="AQ171" i="215"/>
  <c r="AX171" i="215"/>
  <c r="AY171" i="215"/>
  <c r="AZ171" i="215"/>
  <c r="BH171" i="215"/>
  <c r="BI171" i="215"/>
  <c r="S206" i="215"/>
  <c r="U206" i="215"/>
  <c r="V206" i="215"/>
  <c r="W206" i="215"/>
  <c r="Y206" i="215"/>
  <c r="Z206" i="215"/>
  <c r="AA206" i="215"/>
  <c r="U207" i="215"/>
  <c r="V207" i="215"/>
  <c r="Z207" i="215"/>
  <c r="S208" i="215"/>
  <c r="U208" i="215"/>
  <c r="V208" i="215"/>
  <c r="W208" i="215"/>
  <c r="Y208" i="215"/>
  <c r="Z208" i="215"/>
  <c r="AA208" i="215"/>
  <c r="U209" i="215"/>
  <c r="V209" i="215"/>
  <c r="Z209" i="215"/>
  <c r="R210" i="215"/>
  <c r="S210" i="215"/>
  <c r="T210" i="215"/>
  <c r="U210" i="215"/>
  <c r="V210" i="215"/>
  <c r="W210" i="215"/>
  <c r="X210" i="215"/>
  <c r="Y210" i="215"/>
  <c r="Z210" i="215"/>
  <c r="AA210" i="215"/>
  <c r="R211" i="215"/>
  <c r="S211" i="215"/>
  <c r="V211" i="215"/>
  <c r="W211" i="215"/>
  <c r="X211" i="215"/>
  <c r="AA211" i="215"/>
  <c r="R212" i="215"/>
  <c r="S212" i="215"/>
  <c r="T212" i="215"/>
  <c r="U212" i="215"/>
  <c r="V212" i="215"/>
  <c r="W212" i="215"/>
  <c r="X212" i="215"/>
  <c r="Y212" i="215"/>
  <c r="Z212" i="215"/>
  <c r="AA212" i="215"/>
  <c r="R213" i="215"/>
  <c r="S213" i="215"/>
  <c r="V213" i="215"/>
  <c r="W213" i="215"/>
  <c r="X213" i="215"/>
  <c r="AA213" i="215"/>
  <c r="R214" i="215"/>
  <c r="T214" i="215"/>
  <c r="U214" i="215"/>
  <c r="V214" i="215"/>
  <c r="X214" i="215"/>
  <c r="Y214" i="215"/>
  <c r="Z214" i="215"/>
  <c r="R215" i="215"/>
  <c r="V215" i="215"/>
  <c r="X215" i="215"/>
  <c r="R216" i="215"/>
  <c r="T216" i="215"/>
  <c r="U216" i="215"/>
  <c r="V216" i="215"/>
  <c r="X216" i="215"/>
  <c r="Y216" i="215"/>
  <c r="Z216" i="215"/>
  <c r="R217" i="215"/>
  <c r="V217" i="215"/>
  <c r="X217" i="215"/>
  <c r="R250" i="215"/>
  <c r="S250" i="215"/>
  <c r="Z250" i="215"/>
  <c r="AA250" i="215"/>
  <c r="AB250" i="215"/>
  <c r="AJ250" i="215"/>
  <c r="AK250" i="215"/>
  <c r="AR250" i="215"/>
  <c r="BA250" i="215"/>
  <c r="BB250" i="215"/>
  <c r="BC250" i="215"/>
  <c r="T251" i="215"/>
  <c r="AC251" i="215"/>
  <c r="AD251" i="215"/>
  <c r="AE251" i="215"/>
  <c r="AL251" i="215"/>
  <c r="AM251" i="215"/>
  <c r="AN251" i="215"/>
  <c r="AU251" i="215"/>
  <c r="AV251" i="215"/>
  <c r="AW251" i="215"/>
  <c r="BD251" i="215"/>
  <c r="W252" i="215"/>
  <c r="X252" i="215"/>
  <c r="Y252" i="215"/>
  <c r="AG252" i="215"/>
  <c r="AH252" i="215"/>
  <c r="AO252" i="215"/>
  <c r="AQ252" i="215"/>
  <c r="AX252" i="215"/>
  <c r="AY252" i="215"/>
  <c r="AZ252" i="215"/>
  <c r="BG252" i="215"/>
  <c r="BH252" i="215"/>
  <c r="BI252" i="215"/>
  <c r="Q256" i="215"/>
  <c r="R256" i="215"/>
  <c r="S256" i="215"/>
  <c r="AA256" i="215"/>
  <c r="AB256" i="215"/>
  <c r="AI256" i="215"/>
  <c r="AR256" i="215"/>
  <c r="AS256" i="215"/>
  <c r="AT256" i="215"/>
  <c r="BA256" i="215"/>
  <c r="BB256" i="215"/>
  <c r="BC256" i="215"/>
  <c r="T257" i="215"/>
  <c r="U257" i="215"/>
  <c r="V257" i="215"/>
  <c r="AC257" i="215"/>
  <c r="AD257" i="215"/>
  <c r="AE257" i="215"/>
  <c r="AL257" i="215"/>
  <c r="AM257" i="215"/>
  <c r="AN257" i="215"/>
  <c r="AU257" i="215"/>
  <c r="AV257" i="215"/>
  <c r="BD257" i="215"/>
  <c r="BE257" i="215"/>
  <c r="BF257" i="215"/>
  <c r="X258" i="215"/>
  <c r="Y258" i="215"/>
  <c r="AF258" i="215"/>
  <c r="AO258" i="215"/>
  <c r="AP258" i="215"/>
  <c r="AQ258" i="215"/>
  <c r="AX258" i="215"/>
  <c r="AY258" i="215"/>
  <c r="AZ258" i="215"/>
  <c r="BH258" i="215"/>
  <c r="BI258" i="215"/>
  <c r="S293" i="215"/>
  <c r="T293" i="215"/>
  <c r="U293" i="215"/>
  <c r="V293" i="215"/>
  <c r="W293" i="215"/>
  <c r="X293" i="215"/>
  <c r="Y293" i="215"/>
  <c r="Z293" i="215"/>
  <c r="AA293" i="215"/>
  <c r="AB293" i="215"/>
  <c r="AC293" i="215"/>
  <c r="AD293" i="215"/>
  <c r="AE293" i="215"/>
  <c r="AF293" i="215"/>
  <c r="AG293" i="215"/>
  <c r="AH293" i="215"/>
  <c r="AI293" i="215"/>
  <c r="AJ293" i="215"/>
  <c r="AK293" i="215"/>
  <c r="AL293" i="215"/>
  <c r="C12" i="216"/>
  <c r="AJ14" i="216"/>
  <c r="AK14" i="216"/>
  <c r="AL14" i="216"/>
  <c r="AM14" i="216"/>
  <c r="AN14" i="216"/>
  <c r="AO14" i="216"/>
  <c r="AP14" i="216"/>
  <c r="AQ14" i="216"/>
  <c r="AR14" i="216"/>
  <c r="AS14" i="216"/>
  <c r="AT14" i="216"/>
  <c r="AU14" i="216"/>
  <c r="AV14" i="216"/>
  <c r="AW14" i="216"/>
  <c r="AX14" i="216"/>
  <c r="AY14" i="216"/>
  <c r="AZ14" i="216"/>
  <c r="BA14" i="216"/>
  <c r="BB14" i="216"/>
  <c r="BC14" i="216"/>
  <c r="BD14" i="216"/>
  <c r="BE14" i="216"/>
  <c r="BF14" i="216"/>
  <c r="BG14" i="216"/>
  <c r="BH14" i="216"/>
  <c r="BI14" i="216"/>
  <c r="BJ14" i="216"/>
  <c r="BK14" i="216"/>
  <c r="BL14" i="216"/>
  <c r="AK16" i="216"/>
  <c r="AK17" i="216"/>
  <c r="AO16" i="216"/>
  <c r="AO17" i="216"/>
  <c r="AS16" i="216"/>
  <c r="AS17" i="216"/>
  <c r="AW16" i="216"/>
  <c r="AW17" i="216"/>
  <c r="BA16" i="216"/>
  <c r="BA17" i="216"/>
  <c r="BE16" i="216"/>
  <c r="BE17" i="216"/>
  <c r="BI16" i="216"/>
  <c r="BI17" i="216"/>
  <c r="C62" i="216"/>
  <c r="AI17" i="216"/>
  <c r="AI20" i="216"/>
  <c r="C63" i="216"/>
  <c r="C33" i="216"/>
  <c r="H33" i="216"/>
  <c r="M33" i="216"/>
  <c r="AJ36" i="216"/>
  <c r="AK36" i="216"/>
  <c r="AL36" i="216"/>
  <c r="AM36" i="216"/>
  <c r="AN36" i="216"/>
  <c r="AO36" i="216"/>
  <c r="AP36" i="216"/>
  <c r="AQ36" i="216"/>
  <c r="AR36" i="216"/>
  <c r="AS36" i="216"/>
  <c r="AT36" i="216"/>
  <c r="AU36" i="216"/>
  <c r="AV36" i="216"/>
  <c r="AW36" i="216"/>
  <c r="AX36" i="216"/>
  <c r="AY36" i="216"/>
  <c r="AZ36" i="216"/>
  <c r="BA36" i="216"/>
  <c r="BB36" i="216"/>
  <c r="BC36" i="216"/>
  <c r="BD36" i="216"/>
  <c r="BE36" i="216"/>
  <c r="BF36" i="216"/>
  <c r="BG36" i="216"/>
  <c r="BH36" i="216"/>
  <c r="BI36" i="216"/>
  <c r="BJ36" i="216"/>
  <c r="BK36" i="216"/>
  <c r="BL36" i="216"/>
  <c r="AI37" i="216"/>
  <c r="AJ37" i="216"/>
  <c r="AK37" i="216"/>
  <c r="AM37" i="216"/>
  <c r="AN37" i="216"/>
  <c r="AO37" i="216"/>
  <c r="AQ37" i="216"/>
  <c r="AR37" i="216"/>
  <c r="AS37" i="216"/>
  <c r="AU37" i="216"/>
  <c r="AV37" i="216"/>
  <c r="AW37" i="216"/>
  <c r="AY37" i="216"/>
  <c r="AZ37" i="216"/>
  <c r="BA37" i="216"/>
  <c r="BC37" i="216"/>
  <c r="BD37" i="216"/>
  <c r="BE37" i="216"/>
  <c r="BG37" i="216"/>
  <c r="BH37" i="216"/>
  <c r="BI37" i="216"/>
  <c r="BK37" i="216"/>
  <c r="BL37" i="216"/>
  <c r="D63" i="216"/>
  <c r="E63" i="216"/>
  <c r="F63" i="216"/>
  <c r="AL39" i="216"/>
  <c r="G63" i="216"/>
  <c r="G64" i="216"/>
  <c r="H63" i="216"/>
  <c r="AN39" i="216"/>
  <c r="I63" i="216"/>
  <c r="J63" i="216"/>
  <c r="AP39" i="216"/>
  <c r="K63" i="216"/>
  <c r="K64" i="216"/>
  <c r="L63" i="216"/>
  <c r="M63" i="216"/>
  <c r="N63" i="216"/>
  <c r="AT39" i="216"/>
  <c r="O63" i="216"/>
  <c r="O64" i="216"/>
  <c r="P63" i="216"/>
  <c r="P64" i="216"/>
  <c r="Q63" i="216"/>
  <c r="R63" i="216"/>
  <c r="AX39" i="216"/>
  <c r="S63" i="216"/>
  <c r="S64" i="216"/>
  <c r="T63" i="216"/>
  <c r="T64" i="216"/>
  <c r="U63" i="216"/>
  <c r="V63" i="216"/>
  <c r="BB39" i="216"/>
  <c r="W63" i="216"/>
  <c r="W64" i="216"/>
  <c r="X63" i="216"/>
  <c r="BD39" i="216"/>
  <c r="Y63" i="216"/>
  <c r="Z63" i="216"/>
  <c r="BF39" i="216"/>
  <c r="AA63" i="216"/>
  <c r="AA64" i="216"/>
  <c r="AB63" i="216"/>
  <c r="AB64" i="216"/>
  <c r="AC63" i="216"/>
  <c r="AD63" i="216"/>
  <c r="BJ39" i="216"/>
  <c r="AE63" i="216"/>
  <c r="AE64" i="216"/>
  <c r="AF63" i="216"/>
  <c r="AF64" i="216"/>
  <c r="AI39" i="216"/>
  <c r="AK39" i="216"/>
  <c r="AM39" i="216"/>
  <c r="AO39" i="216"/>
  <c r="AQ39" i="216"/>
  <c r="AR39" i="216"/>
  <c r="AS39" i="216"/>
  <c r="AU39" i="216"/>
  <c r="AV39" i="216"/>
  <c r="AW39" i="216"/>
  <c r="AY39" i="216"/>
  <c r="BA39" i="216"/>
  <c r="BC39" i="216"/>
  <c r="BE39" i="216"/>
  <c r="BG39" i="216"/>
  <c r="BH39" i="216"/>
  <c r="BI39" i="216"/>
  <c r="BK39" i="216"/>
  <c r="BL39" i="216"/>
  <c r="AP40" i="216"/>
  <c r="BH40" i="216"/>
  <c r="D55" i="216"/>
  <c r="E55" i="216"/>
  <c r="F55" i="216"/>
  <c r="G55" i="216"/>
  <c r="H55" i="216"/>
  <c r="I55" i="216"/>
  <c r="J55" i="216"/>
  <c r="K55" i="216"/>
  <c r="L55" i="216"/>
  <c r="N55" i="216"/>
  <c r="O55" i="216"/>
  <c r="P55" i="216"/>
  <c r="Q55" i="216"/>
  <c r="R55" i="216"/>
  <c r="S55" i="216"/>
  <c r="T55" i="216"/>
  <c r="U55" i="216"/>
  <c r="V55" i="216"/>
  <c r="X55" i="216"/>
  <c r="Y55" i="216"/>
  <c r="Z55" i="216"/>
  <c r="AA55" i="216"/>
  <c r="AB55" i="216"/>
  <c r="AC55" i="216"/>
  <c r="AD55" i="216"/>
  <c r="AE55" i="216"/>
  <c r="AF55" i="216"/>
  <c r="C61" i="216"/>
  <c r="D61" i="216"/>
  <c r="E61" i="216"/>
  <c r="F61" i="216"/>
  <c r="G61" i="216"/>
  <c r="H61" i="216"/>
  <c r="I61" i="216"/>
  <c r="J61" i="216"/>
  <c r="K61" i="216"/>
  <c r="L61" i="216"/>
  <c r="M61" i="216"/>
  <c r="N61" i="216"/>
  <c r="O61" i="216"/>
  <c r="P61" i="216"/>
  <c r="Q61" i="216"/>
  <c r="R61" i="216"/>
  <c r="S61" i="216"/>
  <c r="T61" i="216"/>
  <c r="U61" i="216"/>
  <c r="V61" i="216"/>
  <c r="W61" i="216"/>
  <c r="X61" i="216"/>
  <c r="Y61" i="216"/>
  <c r="Z61" i="216"/>
  <c r="AA61" i="216"/>
  <c r="AB61" i="216"/>
  <c r="AC61" i="216"/>
  <c r="AD61" i="216"/>
  <c r="AE61" i="216"/>
  <c r="AF61" i="216"/>
  <c r="D62" i="216"/>
  <c r="E62" i="216"/>
  <c r="F62" i="216"/>
  <c r="AB96" i="216"/>
  <c r="G62" i="216"/>
  <c r="H62" i="216"/>
  <c r="I62" i="216"/>
  <c r="J62" i="216"/>
  <c r="AB100" i="216"/>
  <c r="K62" i="216"/>
  <c r="L62" i="216"/>
  <c r="AB102" i="216"/>
  <c r="M62" i="216"/>
  <c r="N62" i="216"/>
  <c r="O62" i="216"/>
  <c r="P62" i="216"/>
  <c r="Q62" i="216"/>
  <c r="R62" i="216"/>
  <c r="S62" i="216"/>
  <c r="T62" i="216"/>
  <c r="U62" i="216"/>
  <c r="V62" i="216"/>
  <c r="W62" i="216"/>
  <c r="X62" i="216"/>
  <c r="Y62" i="216"/>
  <c r="Z62" i="216"/>
  <c r="AA62" i="216"/>
  <c r="AB62" i="216"/>
  <c r="AC62" i="216"/>
  <c r="AD62" i="216"/>
  <c r="AE62" i="216"/>
  <c r="AF62" i="216"/>
  <c r="C64" i="216"/>
  <c r="E64" i="216"/>
  <c r="F64" i="216"/>
  <c r="I64" i="216"/>
  <c r="L64" i="216"/>
  <c r="M64" i="216"/>
  <c r="N64" i="216"/>
  <c r="Q64" i="216"/>
  <c r="R64" i="216"/>
  <c r="U64" i="216"/>
  <c r="V64" i="216"/>
  <c r="X64" i="216"/>
  <c r="Y64" i="216"/>
  <c r="AC64" i="216"/>
  <c r="AD64" i="216"/>
  <c r="T70" i="216"/>
  <c r="T74" i="216"/>
  <c r="T88" i="216"/>
  <c r="T99" i="216"/>
  <c r="T107" i="216"/>
  <c r="T109" i="216"/>
  <c r="T72" i="216"/>
  <c r="AB79" i="216"/>
  <c r="AB80" i="216"/>
  <c r="AB81" i="216"/>
  <c r="T82" i="216"/>
  <c r="T80" i="216"/>
  <c r="T96" i="216"/>
  <c r="AB93" i="216"/>
  <c r="AB94" i="216"/>
  <c r="AB95" i="216"/>
  <c r="AB97" i="216"/>
  <c r="AB98" i="216"/>
  <c r="AB99" i="216"/>
  <c r="AB101" i="216"/>
  <c r="T92" i="216"/>
  <c r="C13" i="217"/>
  <c r="AJ15" i="217"/>
  <c r="AK15" i="217"/>
  <c r="AL15" i="217"/>
  <c r="AM15" i="217"/>
  <c r="AN15" i="217"/>
  <c r="AO15" i="217"/>
  <c r="AP15" i="217"/>
  <c r="AQ15" i="217"/>
  <c r="AR15" i="217"/>
  <c r="AK17" i="217"/>
  <c r="AL17" i="217"/>
  <c r="AN17" i="217"/>
  <c r="AP17" i="217"/>
  <c r="AR17" i="217"/>
  <c r="AI18" i="217"/>
  <c r="AJ18" i="217"/>
  <c r="AK18" i="217"/>
  <c r="AL18" i="217"/>
  <c r="AM18" i="217"/>
  <c r="AN18" i="217"/>
  <c r="AO18" i="217"/>
  <c r="AP18" i="217"/>
  <c r="AQ18" i="217"/>
  <c r="AR18" i="217"/>
  <c r="C33" i="217"/>
  <c r="M33" i="217"/>
  <c r="H33" i="217"/>
  <c r="AJ37" i="217"/>
  <c r="AK37" i="217"/>
  <c r="AL37" i="217"/>
  <c r="AM37" i="217"/>
  <c r="AN37" i="217"/>
  <c r="AO37" i="217"/>
  <c r="AP37" i="217"/>
  <c r="AQ37" i="217"/>
  <c r="AR37" i="217"/>
  <c r="AJ38" i="217"/>
  <c r="AN38" i="217"/>
  <c r="D49" i="217"/>
  <c r="E49" i="217"/>
  <c r="F49" i="217"/>
  <c r="G49" i="217"/>
  <c r="H49" i="217"/>
  <c r="I49" i="217"/>
  <c r="J49" i="217"/>
  <c r="K49" i="217"/>
  <c r="L49" i="217"/>
  <c r="AI39" i="217"/>
  <c r="AM39" i="217"/>
  <c r="AI40" i="217"/>
  <c r="AJ40" i="217"/>
  <c r="AL40" i="217"/>
  <c r="AM40" i="217"/>
  <c r="AN40" i="217"/>
  <c r="AP40" i="217"/>
  <c r="AQ40" i="217"/>
  <c r="AR40" i="217"/>
  <c r="AI41" i="217"/>
  <c r="AJ41" i="217"/>
  <c r="AK41" i="217"/>
  <c r="AM41" i="217"/>
  <c r="AN41" i="217"/>
  <c r="AO41" i="217"/>
  <c r="AQ41" i="217"/>
  <c r="AR41" i="217"/>
  <c r="D47" i="217"/>
  <c r="E47" i="217"/>
  <c r="F47" i="217"/>
  <c r="G47" i="217"/>
  <c r="H47" i="217"/>
  <c r="I47" i="217"/>
  <c r="J47" i="217"/>
  <c r="K47" i="217"/>
  <c r="L47" i="217"/>
  <c r="G55" i="217"/>
  <c r="R55" i="217"/>
  <c r="W55" i="217"/>
  <c r="K20" i="201"/>
  <c r="R20" i="201"/>
  <c r="K21" i="201"/>
  <c r="R21" i="201"/>
  <c r="K22" i="201"/>
  <c r="R22" i="201"/>
  <c r="K23" i="201"/>
  <c r="R23" i="201"/>
  <c r="K24" i="201"/>
  <c r="R24" i="201"/>
  <c r="K25" i="201"/>
  <c r="R25" i="201"/>
  <c r="K26" i="201"/>
  <c r="R26" i="201"/>
  <c r="K27" i="201"/>
  <c r="R27" i="201"/>
  <c r="K28" i="201"/>
  <c r="R28" i="201"/>
  <c r="K29" i="201"/>
  <c r="R29" i="201"/>
  <c r="K30" i="201"/>
  <c r="R30" i="201"/>
  <c r="K31" i="201"/>
  <c r="R31" i="201"/>
  <c r="K32" i="201"/>
  <c r="R32" i="201"/>
  <c r="K33" i="201"/>
  <c r="R33" i="201"/>
  <c r="K34" i="201"/>
  <c r="R34" i="201"/>
  <c r="K35" i="201"/>
  <c r="R35" i="201"/>
  <c r="K36" i="201"/>
  <c r="R36" i="201"/>
  <c r="K37" i="201"/>
  <c r="R37" i="201"/>
  <c r="K38" i="201"/>
  <c r="R38" i="201"/>
  <c r="K39" i="201"/>
  <c r="R39" i="201"/>
  <c r="K40" i="201"/>
  <c r="R40" i="201"/>
  <c r="K41" i="201"/>
  <c r="R41" i="201"/>
  <c r="K42" i="201"/>
  <c r="R42" i="201"/>
  <c r="K43" i="201"/>
  <c r="R43" i="201"/>
  <c r="K44" i="201"/>
  <c r="R44" i="201"/>
  <c r="K45" i="201"/>
  <c r="R45" i="201"/>
  <c r="K46" i="201"/>
  <c r="R46" i="201"/>
  <c r="K47" i="201"/>
  <c r="R47" i="201"/>
  <c r="K48" i="201"/>
  <c r="R48" i="201"/>
  <c r="K49" i="201"/>
  <c r="R49" i="201"/>
  <c r="K50" i="201"/>
  <c r="R50" i="201"/>
  <c r="K51" i="201"/>
  <c r="R51" i="201"/>
  <c r="K52" i="201"/>
  <c r="R52" i="201"/>
  <c r="K53" i="201"/>
  <c r="R53" i="201"/>
  <c r="K6" i="27"/>
  <c r="D9" i="160"/>
  <c r="B6" i="160"/>
  <c r="D7" i="160"/>
  <c r="B9" i="160"/>
  <c r="B8" i="160"/>
  <c r="B7" i="160"/>
  <c r="C4" i="27"/>
  <c r="C3" i="27"/>
  <c r="I4" i="27"/>
  <c r="I3" i="27"/>
  <c r="AI40" i="216"/>
  <c r="AM40" i="216"/>
  <c r="AQ40" i="216"/>
  <c r="AU40" i="216"/>
  <c r="AJ40" i="216"/>
  <c r="AO40" i="216"/>
  <c r="AT40" i="216"/>
  <c r="AY40" i="216"/>
  <c r="BC40" i="216"/>
  <c r="BG40" i="216"/>
  <c r="BK40" i="216"/>
  <c r="AL40" i="216"/>
  <c r="AR40" i="216"/>
  <c r="AW40" i="216"/>
  <c r="BA40" i="216"/>
  <c r="BE40" i="216"/>
  <c r="BI40" i="216"/>
  <c r="AN40" i="216"/>
  <c r="AX40" i="216"/>
  <c r="BF40" i="216"/>
  <c r="AK40" i="216"/>
  <c r="AV40" i="216"/>
  <c r="BD40" i="216"/>
  <c r="BL40" i="216"/>
  <c r="AT163" i="215"/>
  <c r="AT250" i="215"/>
  <c r="AJ256" i="215"/>
  <c r="AJ169" i="215"/>
  <c r="AI163" i="215"/>
  <c r="E22" i="215"/>
  <c r="T206" i="215"/>
  <c r="E23" i="215"/>
  <c r="S88" i="215"/>
  <c r="T208" i="215"/>
  <c r="AI250" i="215"/>
  <c r="AL39" i="217"/>
  <c r="AP39" i="217"/>
  <c r="AK39" i="217"/>
  <c r="AQ39" i="217"/>
  <c r="AJ39" i="217"/>
  <c r="AO39" i="217"/>
  <c r="AK40" i="217"/>
  <c r="H13" i="217"/>
  <c r="M13" i="217"/>
  <c r="E50" i="217"/>
  <c r="AI38" i="216"/>
  <c r="D64" i="216"/>
  <c r="R45" i="215"/>
  <c r="AB89" i="215"/>
  <c r="AL91" i="215"/>
  <c r="V45" i="215"/>
  <c r="AF89" i="215"/>
  <c r="AP91" i="215"/>
  <c r="Z45" i="215"/>
  <c r="AJ89" i="215"/>
  <c r="AT91" i="215"/>
  <c r="S45" i="215"/>
  <c r="AC89" i="215"/>
  <c r="AM91" i="215"/>
  <c r="X45" i="215"/>
  <c r="AH89" i="215"/>
  <c r="AR91" i="215"/>
  <c r="T45" i="215"/>
  <c r="AD89" i="215"/>
  <c r="AN91" i="215"/>
  <c r="Y45" i="215"/>
  <c r="AI89" i="215"/>
  <c r="AS91" i="215"/>
  <c r="U45" i="215"/>
  <c r="AE89" i="215"/>
  <c r="AO91" i="215"/>
  <c r="AA89" i="215"/>
  <c r="AK91" i="215"/>
  <c r="W45" i="215"/>
  <c r="AG89" i="215"/>
  <c r="AQ91" i="215"/>
  <c r="AK38" i="217"/>
  <c r="AO38" i="217"/>
  <c r="AM38" i="217"/>
  <c r="AR38" i="217"/>
  <c r="AL38" i="217"/>
  <c r="AQ38" i="217"/>
  <c r="H64" i="216"/>
  <c r="AN39" i="217"/>
  <c r="AP38" i="217"/>
  <c r="BJ40" i="216"/>
  <c r="AS40" i="216"/>
  <c r="AK256" i="215"/>
  <c r="AK169" i="215"/>
  <c r="AS163" i="215"/>
  <c r="AS250" i="215"/>
  <c r="I22" i="215"/>
  <c r="Z256" i="215"/>
  <c r="I23" i="215"/>
  <c r="W88" i="215"/>
  <c r="X206" i="215"/>
  <c r="Z169" i="215"/>
  <c r="X208" i="215"/>
  <c r="K58" i="214"/>
  <c r="H63" i="214"/>
  <c r="H64" i="214"/>
  <c r="AO40" i="217"/>
  <c r="BB40" i="216"/>
  <c r="AR39" i="217"/>
  <c r="AI38" i="217"/>
  <c r="AZ40" i="216"/>
  <c r="AZ39" i="216"/>
  <c r="AJ39" i="216"/>
  <c r="AI87" i="215"/>
  <c r="Z213" i="215"/>
  <c r="T211" i="215"/>
  <c r="T213" i="215"/>
  <c r="N26" i="215"/>
  <c r="V251" i="215"/>
  <c r="J35" i="215"/>
  <c r="X87" i="215"/>
  <c r="Y207" i="215"/>
  <c r="Y209" i="215"/>
  <c r="C35" i="214"/>
  <c r="N22" i="214"/>
  <c r="AI19" i="217"/>
  <c r="AJ19" i="217"/>
  <c r="AK19" i="217"/>
  <c r="AL19" i="217"/>
  <c r="AM19" i="217"/>
  <c r="AN19" i="217"/>
  <c r="AO19" i="217"/>
  <c r="AP19" i="217"/>
  <c r="AQ19" i="217"/>
  <c r="AR19" i="217"/>
  <c r="AI17" i="217"/>
  <c r="AM17" i="217"/>
  <c r="AQ17" i="217"/>
  <c r="T78" i="216"/>
  <c r="T84" i="216"/>
  <c r="Z217" i="215"/>
  <c r="Z215" i="215"/>
  <c r="AN87" i="215"/>
  <c r="U215" i="215"/>
  <c r="U217" i="215"/>
  <c r="L32" i="215"/>
  <c r="L33" i="215"/>
  <c r="AT88" i="215"/>
  <c r="BG171" i="215"/>
  <c r="AA214" i="215"/>
  <c r="AA216" i="215"/>
  <c r="BG258" i="215"/>
  <c r="H32" i="215"/>
  <c r="H33" i="215"/>
  <c r="AP88" i="215"/>
  <c r="W171" i="215"/>
  <c r="W214" i="215"/>
  <c r="W216" i="215"/>
  <c r="D32" i="215"/>
  <c r="D33" i="215"/>
  <c r="AL88" i="215"/>
  <c r="S214" i="215"/>
  <c r="S216" i="215"/>
  <c r="AF252" i="215"/>
  <c r="F15" i="215"/>
  <c r="F16" i="215"/>
  <c r="J15" i="215"/>
  <c r="C22" i="215"/>
  <c r="N34" i="215"/>
  <c r="R206" i="215"/>
  <c r="R208" i="215"/>
  <c r="Q250" i="215"/>
  <c r="C23" i="215"/>
  <c r="H15" i="215"/>
  <c r="N35" i="215"/>
  <c r="Q163" i="215"/>
  <c r="Q22" i="214"/>
  <c r="R22" i="214"/>
  <c r="R21" i="214"/>
  <c r="G107" i="211"/>
  <c r="I107" i="211"/>
  <c r="I109" i="211"/>
  <c r="I111" i="211"/>
  <c r="G96" i="211"/>
  <c r="G94" i="211"/>
  <c r="I96" i="211"/>
  <c r="AL41" i="217"/>
  <c r="AP41" i="217"/>
  <c r="AO17" i="217"/>
  <c r="AJ17" i="217"/>
  <c r="H50" i="217"/>
  <c r="Z64" i="216"/>
  <c r="J64" i="216"/>
  <c r="H12" i="216"/>
  <c r="AL16" i="216"/>
  <c r="AL17" i="216"/>
  <c r="AP16" i="216"/>
  <c r="AP17" i="216"/>
  <c r="AT16" i="216"/>
  <c r="AT17" i="216"/>
  <c r="AX16" i="216"/>
  <c r="AX17" i="216"/>
  <c r="BB16" i="216"/>
  <c r="BB17" i="216"/>
  <c r="BF16" i="216"/>
  <c r="BF17" i="216"/>
  <c r="BJ16" i="216"/>
  <c r="BJ17" i="216"/>
  <c r="M12" i="216"/>
  <c r="AI16" i="216"/>
  <c r="AM16" i="216"/>
  <c r="AM17" i="216"/>
  <c r="AQ16" i="216"/>
  <c r="AQ17" i="216"/>
  <c r="AU16" i="216"/>
  <c r="AU17" i="216"/>
  <c r="AY16" i="216"/>
  <c r="AY17" i="216"/>
  <c r="BC16" i="216"/>
  <c r="BC17" i="216"/>
  <c r="BG16" i="216"/>
  <c r="BG17" i="216"/>
  <c r="BK16" i="216"/>
  <c r="BK17" i="216"/>
  <c r="AJ16" i="216"/>
  <c r="AJ17" i="216"/>
  <c r="AR16" i="216"/>
  <c r="AR17" i="216"/>
  <c r="AZ16" i="216"/>
  <c r="AZ17" i="216"/>
  <c r="BH16" i="216"/>
  <c r="BH17" i="216"/>
  <c r="AN16" i="216"/>
  <c r="AN17" i="216"/>
  <c r="AV16" i="216"/>
  <c r="AV17" i="216"/>
  <c r="BD16" i="216"/>
  <c r="BD17" i="216"/>
  <c r="BL16" i="216"/>
  <c r="BL17" i="216"/>
  <c r="AG258" i="215"/>
  <c r="W258" i="215"/>
  <c r="AW257" i="215"/>
  <c r="Z211" i="215"/>
  <c r="V164" i="215"/>
  <c r="T46" i="215"/>
  <c r="AD90" i="215"/>
  <c r="AN92" i="215"/>
  <c r="X46" i="215"/>
  <c r="AH90" i="215"/>
  <c r="AR92" i="215"/>
  <c r="S46" i="215"/>
  <c r="AC90" i="215"/>
  <c r="AM92" i="215"/>
  <c r="Y46" i="215"/>
  <c r="AI90" i="215"/>
  <c r="AS92" i="215"/>
  <c r="U46" i="215"/>
  <c r="AE90" i="215"/>
  <c r="AO92" i="215"/>
  <c r="Z46" i="215"/>
  <c r="AJ90" i="215"/>
  <c r="AT92" i="215"/>
  <c r="AR87" i="215"/>
  <c r="Y215" i="215"/>
  <c r="Y217" i="215"/>
  <c r="T215" i="215"/>
  <c r="T217" i="215"/>
  <c r="N25" i="215"/>
  <c r="U251" i="215"/>
  <c r="K57" i="214"/>
  <c r="H59" i="214"/>
  <c r="K40" i="214"/>
  <c r="M40" i="214"/>
  <c r="K42" i="214"/>
  <c r="M42" i="214"/>
  <c r="N22" i="212"/>
  <c r="C35" i="212"/>
  <c r="H29" i="276"/>
  <c r="T9" i="276"/>
  <c r="E41" i="214"/>
  <c r="E43" i="214"/>
  <c r="Q23" i="214"/>
  <c r="S19" i="214"/>
  <c r="AL37" i="216"/>
  <c r="AP37" i="216"/>
  <c r="AT37" i="216"/>
  <c r="AX37" i="216"/>
  <c r="BB37" i="216"/>
  <c r="BF37" i="216"/>
  <c r="BJ37" i="216"/>
  <c r="BE164" i="215"/>
  <c r="V46" i="215"/>
  <c r="AF90" i="215"/>
  <c r="AP92" i="215"/>
  <c r="N27" i="215"/>
  <c r="AA87" i="215"/>
  <c r="K41" i="214"/>
  <c r="M41" i="214"/>
  <c r="BD164" i="215"/>
  <c r="T164" i="215"/>
  <c r="L22" i="215"/>
  <c r="L23" i="215"/>
  <c r="Z88" i="215"/>
  <c r="H22" i="215"/>
  <c r="H23" i="215"/>
  <c r="V88" i="215"/>
  <c r="D22" i="215"/>
  <c r="D23" i="215"/>
  <c r="R88" i="215"/>
  <c r="U30" i="214"/>
  <c r="Q24" i="214"/>
  <c r="E44" i="214"/>
  <c r="J27" i="215"/>
  <c r="J28" i="215"/>
  <c r="AH88" i="215"/>
  <c r="F27" i="215"/>
  <c r="F28" i="215"/>
  <c r="AD88" i="215"/>
  <c r="G109" i="211"/>
  <c r="K109" i="211"/>
  <c r="I94" i="211"/>
  <c r="H28" i="276"/>
  <c r="I82" i="211"/>
  <c r="Y211" i="215"/>
  <c r="Y213" i="215"/>
  <c r="AH87" i="215"/>
  <c r="AL294" i="215"/>
  <c r="AK294" i="215"/>
  <c r="AJ294" i="215"/>
  <c r="AI294" i="215"/>
  <c r="AH294" i="215"/>
  <c r="AG294" i="215"/>
  <c r="AF294" i="215"/>
  <c r="AE294" i="215"/>
  <c r="AD294" i="215"/>
  <c r="AC294" i="215"/>
  <c r="AB294" i="215"/>
  <c r="AA294" i="215"/>
  <c r="Z294" i="215"/>
  <c r="Y294" i="215"/>
  <c r="X294" i="215"/>
  <c r="W294" i="215"/>
  <c r="V294" i="215"/>
  <c r="U294" i="215"/>
  <c r="T294" i="215"/>
  <c r="S294" i="215"/>
  <c r="R294" i="215"/>
  <c r="E35" i="215"/>
  <c r="T207" i="215"/>
  <c r="T209" i="215"/>
  <c r="S87" i="215"/>
  <c r="D35" i="215"/>
  <c r="R87" i="215"/>
  <c r="S207" i="215"/>
  <c r="S209" i="215"/>
  <c r="L35" i="215"/>
  <c r="Z87" i="215"/>
  <c r="AA209" i="215"/>
  <c r="AA207" i="215"/>
  <c r="K107" i="211"/>
  <c r="K111" i="211"/>
  <c r="G111" i="211"/>
  <c r="H116" i="211"/>
  <c r="D118" i="211"/>
  <c r="I50" i="217"/>
  <c r="Y9" i="276"/>
  <c r="K29" i="276"/>
  <c r="O9" i="276"/>
  <c r="I98" i="211"/>
  <c r="H35" i="215"/>
  <c r="V87" i="215"/>
  <c r="W207" i="215"/>
  <c r="W209" i="215"/>
  <c r="K50" i="217"/>
  <c r="T22" i="214"/>
  <c r="N23" i="215"/>
  <c r="Q47" i="215"/>
  <c r="Q88" i="215"/>
  <c r="AT87" i="215"/>
  <c r="AA215" i="215"/>
  <c r="AA217" i="215"/>
  <c r="AM38" i="216"/>
  <c r="AQ38" i="216"/>
  <c r="AU38" i="216"/>
  <c r="AY38" i="216"/>
  <c r="BC38" i="216"/>
  <c r="BG38" i="216"/>
  <c r="BK38" i="216"/>
  <c r="AJ38" i="216"/>
  <c r="AO38" i="216"/>
  <c r="AT38" i="216"/>
  <c r="AZ38" i="216"/>
  <c r="BE38" i="216"/>
  <c r="BJ38" i="216"/>
  <c r="AL38" i="216"/>
  <c r="AR38" i="216"/>
  <c r="AW38" i="216"/>
  <c r="BB38" i="216"/>
  <c r="BH38" i="216"/>
  <c r="AP38" i="216"/>
  <c r="BA38" i="216"/>
  <c r="BL38" i="216"/>
  <c r="AN38" i="216"/>
  <c r="AX38" i="216"/>
  <c r="BI38" i="216"/>
  <c r="AV38" i="216"/>
  <c r="BD38" i="216"/>
  <c r="AK38" i="216"/>
  <c r="BF38" i="216"/>
  <c r="AS38" i="216"/>
  <c r="I86" i="211"/>
  <c r="K82" i="211"/>
  <c r="K86" i="211"/>
  <c r="AL295" i="215"/>
  <c r="N22" i="215"/>
  <c r="C35" i="215"/>
  <c r="Q87" i="215"/>
  <c r="R207" i="215"/>
  <c r="R209" i="215"/>
  <c r="AL87" i="215"/>
  <c r="S217" i="215"/>
  <c r="S215" i="215"/>
  <c r="Y8" i="276"/>
  <c r="K28" i="276"/>
  <c r="O8" i="276"/>
  <c r="T8" i="276"/>
  <c r="AK16" i="217"/>
  <c r="AO16" i="217"/>
  <c r="C50" i="217"/>
  <c r="AI16" i="217"/>
  <c r="AN16" i="217"/>
  <c r="AM16" i="217"/>
  <c r="AR16" i="217"/>
  <c r="AJ16" i="217"/>
  <c r="AP16" i="217"/>
  <c r="F50" i="217"/>
  <c r="AQ16" i="217"/>
  <c r="L50" i="217"/>
  <c r="AL16" i="217"/>
  <c r="G98" i="211"/>
  <c r="H117" i="211"/>
  <c r="K94" i="211"/>
  <c r="K96" i="211"/>
  <c r="K98" i="211"/>
  <c r="AP87" i="215"/>
  <c r="W215" i="215"/>
  <c r="W217" i="215"/>
  <c r="D50" i="217"/>
  <c r="U211" i="215"/>
  <c r="U213" i="215"/>
  <c r="AD87" i="215"/>
  <c r="AK295" i="215"/>
  <c r="AJ295" i="215"/>
  <c r="AI295" i="215"/>
  <c r="AH295" i="215"/>
  <c r="AG295" i="215"/>
  <c r="AF295" i="215"/>
  <c r="AE295" i="215"/>
  <c r="AD295" i="215"/>
  <c r="AC295" i="215"/>
  <c r="AB295" i="215"/>
  <c r="AA295" i="215"/>
  <c r="Z295" i="215"/>
  <c r="Y295" i="215"/>
  <c r="X295" i="215"/>
  <c r="W295" i="215"/>
  <c r="V295" i="215"/>
  <c r="U295" i="215"/>
  <c r="T295" i="215"/>
  <c r="S295" i="215"/>
  <c r="R295" i="215"/>
  <c r="AL296" i="215"/>
  <c r="AK296" i="215"/>
  <c r="AJ296" i="215"/>
  <c r="AI296" i="215"/>
  <c r="AH296" i="215"/>
  <c r="AG296" i="215"/>
  <c r="AF296" i="215"/>
  <c r="AE296" i="215"/>
  <c r="AD296" i="215"/>
  <c r="AC296" i="215"/>
  <c r="AB296" i="215"/>
  <c r="AA296" i="215"/>
  <c r="Z296" i="215"/>
  <c r="Y296" i="215"/>
  <c r="X296" i="215"/>
  <c r="W296" i="215"/>
  <c r="V296" i="215"/>
  <c r="U296" i="215"/>
  <c r="T296" i="215"/>
  <c r="S296" i="215"/>
  <c r="R296" i="215"/>
  <c r="AK18" i="216"/>
  <c r="AO18" i="216"/>
  <c r="AS18" i="216"/>
  <c r="AW18" i="216"/>
  <c r="AL18" i="216"/>
  <c r="AP18" i="216"/>
  <c r="AT18" i="216"/>
  <c r="AX18" i="216"/>
  <c r="BB18" i="216"/>
  <c r="BF18" i="216"/>
  <c r="BJ18" i="216"/>
  <c r="AM18" i="216"/>
  <c r="AU18" i="216"/>
  <c r="BA18" i="216"/>
  <c r="BG18" i="216"/>
  <c r="BL18" i="216"/>
  <c r="AI18" i="216"/>
  <c r="AQ18" i="216"/>
  <c r="AY18" i="216"/>
  <c r="BD18" i="216"/>
  <c r="BI18" i="216"/>
  <c r="AJ18" i="216"/>
  <c r="AZ18" i="216"/>
  <c r="BK18" i="216"/>
  <c r="AV18" i="216"/>
  <c r="BH18" i="216"/>
  <c r="AN18" i="216"/>
  <c r="BC18" i="216"/>
  <c r="AR18" i="216"/>
  <c r="BE18" i="216"/>
  <c r="AJ15" i="216"/>
  <c r="AN15" i="216"/>
  <c r="AR15" i="216"/>
  <c r="AV15" i="216"/>
  <c r="AZ15" i="216"/>
  <c r="BD15" i="216"/>
  <c r="BH15" i="216"/>
  <c r="BL15" i="216"/>
  <c r="AK15" i="216"/>
  <c r="AO15" i="216"/>
  <c r="AS15" i="216"/>
  <c r="AW15" i="216"/>
  <c r="BA15" i="216"/>
  <c r="BE15" i="216"/>
  <c r="BI15" i="216"/>
  <c r="AP15" i="216"/>
  <c r="AX15" i="216"/>
  <c r="BF15" i="216"/>
  <c r="AL15" i="216"/>
  <c r="AT15" i="216"/>
  <c r="BB15" i="216"/>
  <c r="BJ15" i="216"/>
  <c r="AU15" i="216"/>
  <c r="BK15" i="216"/>
  <c r="AQ15" i="216"/>
  <c r="BG15" i="216"/>
  <c r="AI15" i="216"/>
  <c r="AY15" i="216"/>
  <c r="AM15" i="216"/>
  <c r="BC15" i="216"/>
  <c r="G50" i="217"/>
  <c r="S21" i="214"/>
  <c r="S20" i="214"/>
  <c r="I35" i="215"/>
  <c r="X207" i="215"/>
  <c r="X209" i="215"/>
  <c r="W87" i="215"/>
  <c r="J50" i="217"/>
  <c r="R47" i="215"/>
  <c r="V47" i="215"/>
  <c r="Z47" i="215"/>
  <c r="T47" i="215"/>
  <c r="Y47" i="215"/>
  <c r="AA93" i="215"/>
  <c r="U47" i="215"/>
  <c r="W47" i="215"/>
  <c r="X47" i="215"/>
  <c r="S47" i="215"/>
  <c r="G108" i="211"/>
  <c r="I110" i="211"/>
  <c r="I108" i="211"/>
  <c r="I112" i="211"/>
  <c r="G110" i="211"/>
  <c r="K110" i="211"/>
  <c r="Y29" i="276"/>
  <c r="AB9" i="276"/>
  <c r="AD29" i="276"/>
  <c r="F118" i="211"/>
  <c r="C124" i="211"/>
  <c r="C123" i="211"/>
  <c r="G97" i="211"/>
  <c r="K97" i="211"/>
  <c r="I97" i="211"/>
  <c r="G95" i="211"/>
  <c r="I95" i="211"/>
  <c r="I99" i="211"/>
  <c r="AD28" i="276"/>
  <c r="AB8" i="276"/>
  <c r="Y28" i="276"/>
  <c r="G83" i="211"/>
  <c r="I85" i="211"/>
  <c r="I83" i="211"/>
  <c r="I87" i="211"/>
  <c r="G85" i="211"/>
  <c r="K85" i="211"/>
  <c r="G87" i="211"/>
  <c r="K83" i="211"/>
  <c r="K87" i="211"/>
  <c r="G112" i="211"/>
  <c r="K108" i="211"/>
  <c r="K112" i="211"/>
  <c r="K95" i="211"/>
  <c r="K99" i="211"/>
  <c r="G99" i="211"/>
  <c r="AK94" i="215"/>
  <c r="AB93" i="215"/>
  <c r="AL94" i="215"/>
  <c r="AC93" i="215"/>
  <c r="AD93" i="215"/>
  <c r="AM94" i="215"/>
  <c r="AE93" i="215"/>
  <c r="AN94" i="215"/>
  <c r="AF93" i="215"/>
  <c r="AO94" i="215"/>
  <c r="AG93" i="215"/>
  <c r="AP94" i="215"/>
  <c r="AH93" i="215"/>
  <c r="AQ94" i="215"/>
  <c r="AI93" i="215"/>
  <c r="AR94" i="215"/>
  <c r="AS94" i="215"/>
  <c r="AJ93" i="215"/>
  <c r="AT94" i="215"/>
</calcChain>
</file>

<file path=xl/comments1.xml><?xml version="1.0" encoding="utf-8"?>
<comments xmlns="http://schemas.openxmlformats.org/spreadsheetml/2006/main">
  <authors>
    <author>Jim Sensenbrenner</author>
  </authors>
  <commentList>
    <comment ref="K18" authorId="0" shapeId="0">
      <text>
        <r>
          <rPr>
            <b/>
            <sz val="8"/>
            <color indexed="81"/>
            <rFont val="Tahoma"/>
            <family val="2"/>
          </rPr>
          <t>Ed DeBoer:</t>
        </r>
        <r>
          <rPr>
            <sz val="8"/>
            <color indexed="81"/>
            <rFont val="Tahoma"/>
            <family val="2"/>
          </rPr>
          <t xml:space="preserve">
When inserting new rows, copy RPN formula to new row.</t>
        </r>
      </text>
    </comment>
  </commentList>
</comments>
</file>

<file path=xl/comments2.xml><?xml version="1.0" encoding="utf-8"?>
<comments xmlns="http://schemas.openxmlformats.org/spreadsheetml/2006/main">
  <authors>
    <author>JLG Industries, Inc.</author>
  </authors>
  <commentList>
    <comment ref="J7" authorId="0" shapeId="0">
      <text>
        <r>
          <rPr>
            <sz val="10"/>
            <color indexed="81"/>
            <rFont val="Tahoma"/>
            <family val="2"/>
          </rPr>
          <t>Insert Upper Specification Limit from the drawing.</t>
        </r>
        <r>
          <rPr>
            <sz val="8"/>
            <color indexed="81"/>
            <rFont val="Tahoma"/>
            <family val="2"/>
          </rPr>
          <t xml:space="preserve">
</t>
        </r>
      </text>
    </comment>
    <comment ref="V7" authorId="0" shapeId="0">
      <text>
        <r>
          <rPr>
            <sz val="8"/>
            <color indexed="81"/>
            <rFont val="Tahoma"/>
            <family val="2"/>
          </rPr>
          <t>If there is no specification, leave this area blank. Otherwise I</t>
        </r>
        <r>
          <rPr>
            <sz val="10"/>
            <color indexed="81"/>
            <rFont val="Tahoma"/>
            <family val="2"/>
          </rPr>
          <t>nsert Lower Specification Limit from the drawing.</t>
        </r>
        <r>
          <rPr>
            <sz val="8"/>
            <color indexed="81"/>
            <rFont val="Tahoma"/>
            <family val="2"/>
          </rPr>
          <t xml:space="preserve">
</t>
        </r>
      </text>
    </comment>
    <comment ref="AB7" authorId="0" shapeId="0">
      <text>
        <r>
          <rPr>
            <sz val="10"/>
            <color indexed="81"/>
            <rFont val="Tahoma"/>
            <family val="2"/>
          </rPr>
          <t>Minium</t>
        </r>
        <r>
          <rPr>
            <sz val="11"/>
            <color indexed="81"/>
            <rFont val="Tahoma"/>
            <family val="2"/>
          </rPr>
          <t xml:space="preserve"> U</t>
        </r>
        <r>
          <rPr>
            <sz val="10"/>
            <color indexed="81"/>
            <rFont val="Tahoma"/>
            <family val="2"/>
          </rPr>
          <t>pper Specification Needed To Achieve 6 Sigma based upon current process variation.</t>
        </r>
        <r>
          <rPr>
            <sz val="8"/>
            <color indexed="81"/>
            <rFont val="Tahoma"/>
            <family val="2"/>
          </rPr>
          <t xml:space="preserve">
</t>
        </r>
      </text>
    </comment>
    <comment ref="AG7" authorId="0" shapeId="0">
      <text>
        <r>
          <rPr>
            <sz val="10"/>
            <color indexed="81"/>
            <rFont val="Tahoma"/>
            <family val="2"/>
          </rPr>
          <t>Minimum Lower Specification Limit Needed To Achieve 6 Sigma based upon current process variation.</t>
        </r>
        <r>
          <rPr>
            <sz val="8"/>
            <color indexed="81"/>
            <rFont val="Tahoma"/>
            <family val="2"/>
          </rPr>
          <t xml:space="preserve">
</t>
        </r>
      </text>
    </comment>
    <comment ref="I8" authorId="0" shapeId="0">
      <text>
        <r>
          <rPr>
            <b/>
            <sz val="8"/>
            <color indexed="81"/>
            <rFont val="Tahoma"/>
            <family val="2"/>
          </rPr>
          <t>Avg. for Capability</t>
        </r>
        <r>
          <rPr>
            <sz val="8"/>
            <color indexed="81"/>
            <rFont val="Tahoma"/>
            <family val="2"/>
          </rPr>
          <t xml:space="preserve">
</t>
        </r>
      </text>
    </comment>
    <comment ref="O8" authorId="0" shapeId="0">
      <text>
        <r>
          <rPr>
            <b/>
            <sz val="8"/>
            <color indexed="81"/>
            <rFont val="Tahoma"/>
            <family val="2"/>
          </rPr>
          <t>UCLx for Capability</t>
        </r>
        <r>
          <rPr>
            <sz val="8"/>
            <color indexed="81"/>
            <rFont val="Tahoma"/>
            <family val="2"/>
          </rPr>
          <t xml:space="preserve">
</t>
        </r>
      </text>
    </comment>
    <comment ref="T8" authorId="0" shapeId="0">
      <text>
        <r>
          <rPr>
            <b/>
            <sz val="8"/>
            <color indexed="81"/>
            <rFont val="Tahoma"/>
            <family val="2"/>
          </rPr>
          <t>LCLx for Capability</t>
        </r>
        <r>
          <rPr>
            <sz val="8"/>
            <color indexed="81"/>
            <rFont val="Tahoma"/>
            <family val="2"/>
          </rPr>
          <t xml:space="preserve">
</t>
        </r>
      </text>
    </comment>
    <comment ref="Y8" authorId="0" shapeId="0">
      <text>
        <r>
          <rPr>
            <b/>
            <sz val="8"/>
            <color indexed="81"/>
            <rFont val="Tahoma"/>
            <family val="2"/>
          </rPr>
          <t>Std. Dev. For Capability</t>
        </r>
        <r>
          <rPr>
            <sz val="8"/>
            <color indexed="81"/>
            <rFont val="Tahoma"/>
            <family val="2"/>
          </rPr>
          <t xml:space="preserve">
</t>
        </r>
      </text>
    </comment>
    <comment ref="AB8" authorId="0" shapeId="0">
      <text>
        <r>
          <rPr>
            <b/>
            <sz val="8"/>
            <color indexed="81"/>
            <rFont val="Tahoma"/>
            <family val="2"/>
          </rPr>
          <t>Capability 
Percent of engineering specification being consumed.</t>
        </r>
        <r>
          <rPr>
            <sz val="8"/>
            <color indexed="81"/>
            <rFont val="Tahoma"/>
            <family val="2"/>
          </rPr>
          <t xml:space="preserve">
</t>
        </r>
      </text>
    </comment>
    <comment ref="I9" authorId="0" shapeId="0">
      <text>
        <r>
          <rPr>
            <b/>
            <sz val="8"/>
            <color indexed="81"/>
            <rFont val="Tahoma"/>
            <family val="2"/>
          </rPr>
          <t>Avg. for Ongoing</t>
        </r>
      </text>
    </comment>
    <comment ref="O9" authorId="0" shapeId="0">
      <text>
        <r>
          <rPr>
            <b/>
            <sz val="8"/>
            <color indexed="81"/>
            <rFont val="Tahoma"/>
            <family val="2"/>
          </rPr>
          <t>UCLx for Ongoing</t>
        </r>
        <r>
          <rPr>
            <sz val="8"/>
            <color indexed="81"/>
            <rFont val="Tahoma"/>
            <family val="2"/>
          </rPr>
          <t xml:space="preserve">
</t>
        </r>
      </text>
    </comment>
    <comment ref="T9" authorId="0" shapeId="0">
      <text>
        <r>
          <rPr>
            <b/>
            <sz val="8"/>
            <color indexed="81"/>
            <rFont val="Tahoma"/>
            <family val="2"/>
          </rPr>
          <t>LCLx for Ongoing</t>
        </r>
        <r>
          <rPr>
            <sz val="8"/>
            <color indexed="81"/>
            <rFont val="Tahoma"/>
            <family val="2"/>
          </rPr>
          <t xml:space="preserve">
</t>
        </r>
      </text>
    </comment>
    <comment ref="Y9" authorId="0" shapeId="0">
      <text>
        <r>
          <rPr>
            <b/>
            <sz val="8"/>
            <color indexed="81"/>
            <rFont val="Tahoma"/>
            <family val="2"/>
          </rPr>
          <t>Std. Dev. For Ongoing</t>
        </r>
        <r>
          <rPr>
            <sz val="8"/>
            <color indexed="81"/>
            <rFont val="Tahoma"/>
            <family val="2"/>
          </rPr>
          <t xml:space="preserve">
</t>
        </r>
      </text>
    </comment>
    <comment ref="AB9" authorId="0" shapeId="0">
      <text>
        <r>
          <rPr>
            <b/>
            <sz val="8"/>
            <color indexed="81"/>
            <rFont val="Tahoma"/>
            <family val="2"/>
          </rPr>
          <t xml:space="preserve">Ongoing Percent </t>
        </r>
        <r>
          <rPr>
            <sz val="8"/>
            <color indexed="81"/>
            <rFont val="Tahoma"/>
            <family val="2"/>
          </rPr>
          <t xml:space="preserve">
</t>
        </r>
        <r>
          <rPr>
            <b/>
            <sz val="8"/>
            <color indexed="81"/>
            <rFont val="Tahoma"/>
            <family val="2"/>
          </rPr>
          <t>of engineering specification being consumed</t>
        </r>
      </text>
    </comment>
    <comment ref="H28" authorId="0" shapeId="0">
      <text>
        <r>
          <rPr>
            <b/>
            <sz val="8"/>
            <color indexed="81"/>
            <rFont val="Tahoma"/>
            <family val="2"/>
          </rPr>
          <t>Avg. Range for Capability</t>
        </r>
        <r>
          <rPr>
            <sz val="8"/>
            <color indexed="81"/>
            <rFont val="Tahoma"/>
            <family val="2"/>
          </rPr>
          <t xml:space="preserve">
</t>
        </r>
      </text>
    </comment>
    <comment ref="K28" authorId="0" shapeId="0">
      <text>
        <r>
          <rPr>
            <b/>
            <sz val="8"/>
            <color indexed="81"/>
            <rFont val="Tahoma"/>
            <family val="2"/>
          </rPr>
          <t>UCLr for Capability</t>
        </r>
        <r>
          <rPr>
            <sz val="8"/>
            <color indexed="81"/>
            <rFont val="Tahoma"/>
            <family val="2"/>
          </rPr>
          <t xml:space="preserve">
</t>
        </r>
      </text>
    </comment>
    <comment ref="O28" authorId="0" shapeId="0">
      <text>
        <r>
          <rPr>
            <b/>
            <sz val="8"/>
            <color indexed="81"/>
            <rFont val="Tahoma"/>
            <family val="2"/>
          </rPr>
          <t>Z Upper for Capability</t>
        </r>
        <r>
          <rPr>
            <sz val="8"/>
            <color indexed="81"/>
            <rFont val="Tahoma"/>
            <family val="2"/>
          </rPr>
          <t xml:space="preserve">
</t>
        </r>
      </text>
    </comment>
    <comment ref="S28" authorId="0" shapeId="0">
      <text>
        <r>
          <rPr>
            <b/>
            <sz val="8"/>
            <color indexed="81"/>
            <rFont val="Tahoma"/>
            <family val="2"/>
          </rPr>
          <t>Z Lower for Ongoing</t>
        </r>
        <r>
          <rPr>
            <sz val="8"/>
            <color indexed="81"/>
            <rFont val="Tahoma"/>
            <family val="2"/>
          </rPr>
          <t xml:space="preserve">
</t>
        </r>
      </text>
    </comment>
    <comment ref="Y28" authorId="0" shapeId="0">
      <text>
        <r>
          <rPr>
            <b/>
            <sz val="8"/>
            <color indexed="81"/>
            <rFont val="Tahoma"/>
            <family val="2"/>
          </rPr>
          <t>Cpk Upper for Capability</t>
        </r>
        <r>
          <rPr>
            <sz val="8"/>
            <color indexed="81"/>
            <rFont val="Tahoma"/>
            <family val="2"/>
          </rPr>
          <t xml:space="preserve">
</t>
        </r>
      </text>
    </comment>
    <comment ref="AD28" authorId="0" shapeId="0">
      <text>
        <r>
          <rPr>
            <b/>
            <sz val="8"/>
            <color indexed="81"/>
            <rFont val="Tahoma"/>
            <family val="2"/>
          </rPr>
          <t>Cpk Lower for Capability</t>
        </r>
        <r>
          <rPr>
            <sz val="8"/>
            <color indexed="81"/>
            <rFont val="Tahoma"/>
            <family val="2"/>
          </rPr>
          <t xml:space="preserve">
</t>
        </r>
      </text>
    </comment>
    <comment ref="H29" authorId="0" shapeId="0">
      <text>
        <r>
          <rPr>
            <b/>
            <sz val="8"/>
            <color indexed="81"/>
            <rFont val="Tahoma"/>
            <family val="2"/>
          </rPr>
          <t>Avg. Range for Ongoing</t>
        </r>
        <r>
          <rPr>
            <sz val="8"/>
            <color indexed="81"/>
            <rFont val="Tahoma"/>
            <family val="2"/>
          </rPr>
          <t xml:space="preserve">
</t>
        </r>
      </text>
    </comment>
    <comment ref="K29" authorId="0" shapeId="0">
      <text>
        <r>
          <rPr>
            <b/>
            <sz val="8"/>
            <color indexed="81"/>
            <rFont val="Tahoma"/>
            <family val="2"/>
          </rPr>
          <t>UCLr for Ongoing</t>
        </r>
        <r>
          <rPr>
            <sz val="8"/>
            <color indexed="81"/>
            <rFont val="Tahoma"/>
            <family val="2"/>
          </rPr>
          <t xml:space="preserve">
</t>
        </r>
      </text>
    </comment>
    <comment ref="S29" authorId="0" shapeId="0">
      <text>
        <r>
          <rPr>
            <b/>
            <sz val="8"/>
            <color indexed="81"/>
            <rFont val="Tahoma"/>
            <family val="2"/>
          </rPr>
          <t>Z Lower for Onngoing</t>
        </r>
      </text>
    </comment>
    <comment ref="Y29" authorId="0" shapeId="0">
      <text>
        <r>
          <rPr>
            <b/>
            <sz val="8"/>
            <color indexed="81"/>
            <rFont val="Tahoma"/>
            <family val="2"/>
          </rPr>
          <t>Cpk Upper for Ongoing</t>
        </r>
      </text>
    </comment>
    <comment ref="AD29" authorId="0" shapeId="0">
      <text>
        <r>
          <rPr>
            <b/>
            <sz val="8"/>
            <color indexed="81"/>
            <rFont val="Tahoma"/>
            <family val="2"/>
          </rPr>
          <t>Cpk Lower for Ongoing</t>
        </r>
        <r>
          <rPr>
            <sz val="8"/>
            <color indexed="81"/>
            <rFont val="Tahoma"/>
            <family val="2"/>
          </rPr>
          <t xml:space="preserve">
</t>
        </r>
      </text>
    </comment>
    <comment ref="B45" authorId="0" shapeId="0">
      <text>
        <r>
          <rPr>
            <b/>
            <sz val="8"/>
            <color indexed="81"/>
            <rFont val="Tahoma"/>
            <family val="2"/>
          </rPr>
          <t xml:space="preserve">Enter date or time.
</t>
        </r>
        <r>
          <rPr>
            <sz val="8"/>
            <color indexed="81"/>
            <rFont val="Tahoma"/>
            <family val="2"/>
          </rPr>
          <t xml:space="preserve">
</t>
        </r>
      </text>
    </comment>
    <comment ref="B46" authorId="0" shapeId="0">
      <text>
        <r>
          <rPr>
            <b/>
            <sz val="8"/>
            <color indexed="81"/>
            <rFont val="Tahoma"/>
            <family val="2"/>
          </rPr>
          <t>Enter actual dimension taken from the part.</t>
        </r>
        <r>
          <rPr>
            <sz val="8"/>
            <color indexed="81"/>
            <rFont val="Tahoma"/>
            <family val="2"/>
          </rPr>
          <t xml:space="preserve">
</t>
        </r>
      </text>
    </comment>
    <comment ref="C50" authorId="0" shapeId="0">
      <text>
        <r>
          <rPr>
            <sz val="8"/>
            <color indexed="81"/>
            <rFont val="Tahoma"/>
            <family val="2"/>
          </rPr>
          <t>Statistical information based upon 30 pieces.</t>
        </r>
        <r>
          <rPr>
            <sz val="8"/>
            <color indexed="81"/>
            <rFont val="Tahoma"/>
            <family val="2"/>
          </rPr>
          <t xml:space="preserve">
</t>
        </r>
      </text>
    </comment>
    <comment ref="E50" authorId="0" shapeId="0">
      <text>
        <r>
          <rPr>
            <sz val="8"/>
            <color indexed="81"/>
            <rFont val="Tahoma"/>
            <family val="2"/>
          </rPr>
          <t>Statistical information based upon charting of 30 piece study and continuous charting.</t>
        </r>
      </text>
    </comment>
    <comment ref="C51" authorId="0" shapeId="0">
      <text>
        <r>
          <rPr>
            <sz val="8"/>
            <color indexed="81"/>
            <rFont val="Tahoma"/>
            <family val="2"/>
          </rPr>
          <t>Average of 30 Piece Study.  See bell curve on botton graph.</t>
        </r>
        <r>
          <rPr>
            <sz val="8"/>
            <color indexed="81"/>
            <rFont val="Tahoma"/>
            <family val="2"/>
          </rPr>
          <t xml:space="preserve">
</t>
        </r>
      </text>
    </comment>
    <comment ref="E51" authorId="0" shapeId="0">
      <text>
        <r>
          <rPr>
            <sz val="8"/>
            <color indexed="81"/>
            <rFont val="Tahoma"/>
            <family val="2"/>
          </rPr>
          <t>Average of Ongoing Statistics. See bell curve on bottom graph.</t>
        </r>
      </text>
    </comment>
    <comment ref="B55" authorId="0" shapeId="0">
      <text>
        <r>
          <rPr>
            <b/>
            <sz val="8"/>
            <color indexed="81"/>
            <rFont val="Tahoma"/>
            <family val="2"/>
          </rPr>
          <t>Percent of Engineering Specification consumed by the process.</t>
        </r>
        <r>
          <rPr>
            <sz val="8"/>
            <color indexed="81"/>
            <rFont val="Tahoma"/>
            <family val="2"/>
          </rPr>
          <t xml:space="preserve">
</t>
        </r>
      </text>
    </comment>
    <comment ref="B58" authorId="0" shapeId="0">
      <text>
        <r>
          <rPr>
            <b/>
            <sz val="8"/>
            <color indexed="81"/>
            <rFont val="Tahoma"/>
            <family val="2"/>
          </rPr>
          <t>Refer to "Table for Percent" tab to calculate percent defective.</t>
        </r>
        <r>
          <rPr>
            <sz val="8"/>
            <color indexed="81"/>
            <rFont val="Tahoma"/>
            <family val="2"/>
          </rPr>
          <t xml:space="preserve">
</t>
        </r>
      </text>
    </comment>
    <comment ref="B59" authorId="0" shapeId="0">
      <text>
        <r>
          <rPr>
            <b/>
            <sz val="8"/>
            <color indexed="81"/>
            <rFont val="Tahoma"/>
            <family val="2"/>
          </rPr>
          <t>Refer to "Table for Percent Defective" tab to calculate percent defective.</t>
        </r>
        <r>
          <rPr>
            <sz val="8"/>
            <color indexed="81"/>
            <rFont val="Tahoma"/>
            <family val="2"/>
          </rPr>
          <t xml:space="preserve">
</t>
        </r>
      </text>
    </comment>
    <comment ref="B62" authorId="0" shapeId="0">
      <text>
        <r>
          <rPr>
            <b/>
            <sz val="8"/>
            <color indexed="81"/>
            <rFont val="Tahoma"/>
            <family val="2"/>
          </rPr>
          <t xml:space="preserve">Must be =&gt;1.33
</t>
        </r>
        <r>
          <rPr>
            <sz val="8"/>
            <color indexed="81"/>
            <rFont val="Tahoma"/>
            <family val="2"/>
          </rPr>
          <t xml:space="preserve">
</t>
        </r>
      </text>
    </comment>
    <comment ref="B63" authorId="0" shapeId="0">
      <text>
        <r>
          <rPr>
            <b/>
            <sz val="8"/>
            <color indexed="81"/>
            <rFont val="Tahoma"/>
            <family val="2"/>
          </rPr>
          <t>Must be =&gt;1.33</t>
        </r>
        <r>
          <rPr>
            <sz val="8"/>
            <color indexed="81"/>
            <rFont val="Tahoma"/>
            <family val="2"/>
          </rPr>
          <t xml:space="preserve">
</t>
        </r>
      </text>
    </comment>
  </commentList>
</comments>
</file>

<file path=xl/comments3.xml><?xml version="1.0" encoding="utf-8"?>
<comments xmlns="http://schemas.openxmlformats.org/spreadsheetml/2006/main">
  <authors>
    <author>Jarold March</author>
  </authors>
  <commentList>
    <comment ref="F16" authorId="0" shapeId="0">
      <text>
        <r>
          <rPr>
            <b/>
            <sz val="8"/>
            <color indexed="81"/>
            <rFont val="Tahoma"/>
            <family val="2"/>
          </rPr>
          <t>MSA recommends 3 trail, 10 part, 3 appraiser analysis when possible</t>
        </r>
        <r>
          <rPr>
            <sz val="8"/>
            <color indexed="81"/>
            <rFont val="Tahoma"/>
            <family val="2"/>
          </rPr>
          <t xml:space="preserve">
</t>
        </r>
      </text>
    </comment>
  </commentList>
</comments>
</file>

<file path=xl/comments4.xml><?xml version="1.0" encoding="utf-8"?>
<comments xmlns="http://schemas.openxmlformats.org/spreadsheetml/2006/main">
  <authors>
    <author>Jarold March</author>
  </authors>
  <commentList>
    <comment ref="F16" authorId="0" shapeId="0">
      <text>
        <r>
          <rPr>
            <b/>
            <sz val="8"/>
            <color indexed="81"/>
            <rFont val="Tahoma"/>
            <family val="2"/>
          </rPr>
          <t>MSA recommends 3 trail, 10 part, 3 appraiser analysis when possible</t>
        </r>
        <r>
          <rPr>
            <sz val="8"/>
            <color indexed="81"/>
            <rFont val="Tahoma"/>
            <family val="2"/>
          </rPr>
          <t xml:space="preserve">
</t>
        </r>
      </text>
    </comment>
  </commentList>
</comments>
</file>

<file path=xl/comments5.xml><?xml version="1.0" encoding="utf-8"?>
<comments xmlns="http://schemas.openxmlformats.org/spreadsheetml/2006/main">
  <authors>
    <author>Jarold March</author>
  </authors>
  <commentList>
    <comment ref="F16" authorId="0" shapeId="0">
      <text>
        <r>
          <rPr>
            <b/>
            <sz val="8"/>
            <color indexed="81"/>
            <rFont val="Tahoma"/>
            <family val="2"/>
          </rPr>
          <t>MSA recommends 3 trail, 10 part, 3 appraiser analysis when possible</t>
        </r>
        <r>
          <rPr>
            <sz val="8"/>
            <color indexed="81"/>
            <rFont val="Tahoma"/>
            <family val="2"/>
          </rPr>
          <t xml:space="preserve">
</t>
        </r>
      </text>
    </comment>
  </commentList>
</comments>
</file>

<file path=xl/comments6.xml><?xml version="1.0" encoding="utf-8"?>
<comments xmlns="http://schemas.openxmlformats.org/spreadsheetml/2006/main">
  <authors>
    <author>Jarold March</author>
  </authors>
  <commentList>
    <comment ref="F16" authorId="0" shapeId="0">
      <text>
        <r>
          <rPr>
            <b/>
            <sz val="8"/>
            <color indexed="81"/>
            <rFont val="Tahoma"/>
            <family val="2"/>
          </rPr>
          <t>MSA recommends 3 trail, 10 part, 3 appraiser analysis when possible</t>
        </r>
        <r>
          <rPr>
            <sz val="8"/>
            <color indexed="81"/>
            <rFont val="Tahoma"/>
            <family val="2"/>
          </rPr>
          <t xml:space="preserve">
</t>
        </r>
      </text>
    </comment>
    <comment ref="C19" authorId="0" shapeId="0">
      <text>
        <r>
          <rPr>
            <b/>
            <sz val="8"/>
            <color indexed="81"/>
            <rFont val="Tahoma"/>
            <family val="2"/>
          </rPr>
          <t>Values from GR&amp;R VAR(Tol)</t>
        </r>
      </text>
    </comment>
  </commentList>
</comments>
</file>

<file path=xl/sharedStrings.xml><?xml version="1.0" encoding="utf-8"?>
<sst xmlns="http://schemas.openxmlformats.org/spreadsheetml/2006/main" count="1912" uniqueCount="912">
  <si>
    <t>AAR Program:</t>
  </si>
  <si>
    <t>Send identified sample(s), such as, Piece#1, Piece#2, Piece#3, etc to AAR Mobility Systems with appropriate label.</t>
  </si>
  <si>
    <t xml:space="preserve">
</t>
  </si>
  <si>
    <t>PHOTO OF AAR OWNED TOOLING AND FIXTURES</t>
  </si>
  <si>
    <t>Supplier is required to identify all AAR Owned Tools &amp; Fixtures and document with Photo in PPAP workbook</t>
  </si>
  <si>
    <t xml:space="preserve">It is the policy of AAR Mobility Systems to approve initial samples of supplier provided parts before receiving production orders of those parts AAR has developed the PPAP PROCESS to facilitate this requirement. </t>
  </si>
  <si>
    <t>UNLESS OTHERWISED SPECIFIED IN WRITING BY AAR MOBILITY SYSTEMS:</t>
  </si>
  <si>
    <r>
      <t xml:space="preserve">Design analysis/detection controls have a strong detection capability. Virtual Analysis (e.g. CAE, FEA, etc.) </t>
    </r>
    <r>
      <rPr>
        <b/>
        <u/>
        <sz val="12"/>
        <rFont val="Arial"/>
        <family val="2"/>
      </rPr>
      <t>is highly correlated</t>
    </r>
    <r>
      <rPr>
        <sz val="12"/>
        <rFont val="Arial"/>
        <family val="2"/>
      </rPr>
      <t xml:space="preserve"> with actual or expected operating conditions prior to design freeze.</t>
    </r>
  </si>
  <si>
    <t xml:space="preserve">Model Year(s)/Vehicle(s): </t>
  </si>
  <si>
    <t>Level 3 - All Level 2 Requirements in addition DFMEA, PFD, PFMEA, Control Plan, Initial Process Capability, and MSA</t>
  </si>
  <si>
    <t xml:space="preserve">   3) Existing parts from existing supplier where there has been a substantive change in the </t>
  </si>
  <si>
    <t xml:space="preserve">   1) New parts.</t>
  </si>
  <si>
    <t xml:space="preserve">   2) Existing parts from a new supplier.</t>
  </si>
  <si>
    <t xml:space="preserve">       supplier's manufacturing process, tooling, materials, and/or location.  </t>
  </si>
  <si>
    <t xml:space="preserve">   4) Any changes that affect the fit, function or appearance of the part.</t>
  </si>
  <si>
    <t>SIGNATURE</t>
  </si>
  <si>
    <t>DATE</t>
  </si>
  <si>
    <t>DATE:</t>
  </si>
  <si>
    <t>PART NUMBER:</t>
  </si>
  <si>
    <t>CHARACTERISTICS</t>
  </si>
  <si>
    <t>PROCESS</t>
  </si>
  <si>
    <t>Date</t>
  </si>
  <si>
    <t>Core Team</t>
  </si>
  <si>
    <t>TOLERANCE</t>
  </si>
  <si>
    <t>Print #</t>
  </si>
  <si>
    <t xml:space="preserve">Rev.  </t>
  </si>
  <si>
    <t>FMEA Number:</t>
  </si>
  <si>
    <t>Prepared by:</t>
  </si>
  <si>
    <t>Date (Orig.)</t>
  </si>
  <si>
    <t>Date (Rev.)</t>
  </si>
  <si>
    <t>C</t>
  </si>
  <si>
    <t>O</t>
  </si>
  <si>
    <t>D</t>
  </si>
  <si>
    <t>S</t>
  </si>
  <si>
    <t>l</t>
  </si>
  <si>
    <t>c</t>
  </si>
  <si>
    <t>Current</t>
  </si>
  <si>
    <t>e</t>
  </si>
  <si>
    <t>R.</t>
  </si>
  <si>
    <t>Action Results</t>
  </si>
  <si>
    <t>a</t>
  </si>
  <si>
    <t>t</t>
  </si>
  <si>
    <t>P.</t>
  </si>
  <si>
    <t>v</t>
  </si>
  <si>
    <t>s</t>
  </si>
  <si>
    <t>u</t>
  </si>
  <si>
    <t>Controls</t>
  </si>
  <si>
    <t>N.</t>
  </si>
  <si>
    <t>r</t>
  </si>
  <si>
    <t xml:space="preserve">Item:  </t>
  </si>
  <si>
    <t>Process Responsibility:</t>
  </si>
  <si>
    <t>Process</t>
  </si>
  <si>
    <t>Control Plan Number</t>
  </si>
  <si>
    <t>Key Contact/Phone</t>
  </si>
  <si>
    <t>Part Number/Latest Change Level</t>
  </si>
  <si>
    <t>Customer Engineering Approval/Date (If Req'd.)</t>
  </si>
  <si>
    <t>Part Name/Description</t>
  </si>
  <si>
    <t>Supplier/Plant Approval/Date</t>
  </si>
  <si>
    <t>Customer Quality Approval/Date (If Req'd.)</t>
  </si>
  <si>
    <t>Supplier/Plant</t>
  </si>
  <si>
    <t>Other Approval/Date (If Req'd.)</t>
  </si>
  <si>
    <t>METHODS</t>
  </si>
  <si>
    <t>PRODUCT/PROCESS</t>
  </si>
  <si>
    <t>EVALUATION/</t>
  </si>
  <si>
    <t>SAMPLE</t>
  </si>
  <si>
    <t>NO.</t>
  </si>
  <si>
    <t>PRODUCT</t>
  </si>
  <si>
    <t>SPECIFICATION/</t>
  </si>
  <si>
    <t>MEASUREMENT</t>
  </si>
  <si>
    <t>SIZE</t>
  </si>
  <si>
    <t>FREQ.</t>
  </si>
  <si>
    <t>TECHNIQUE</t>
  </si>
  <si>
    <t>ITEM</t>
  </si>
  <si>
    <t>OK</t>
  </si>
  <si>
    <t>TITLE</t>
  </si>
  <si>
    <t>Title</t>
  </si>
  <si>
    <t>Dated</t>
  </si>
  <si>
    <t>Shown on Drawing Number</t>
  </si>
  <si>
    <t>Purchase Order No.</t>
  </si>
  <si>
    <t>Change to Optional Construction or Material</t>
  </si>
  <si>
    <t>Engineering Change(s)</t>
  </si>
  <si>
    <t>Sub-Supplier or Material Source Change</t>
  </si>
  <si>
    <t>Tooling: Transfer, Replacement, Refurbishment, or additional</t>
  </si>
  <si>
    <t>Change in Part Processing</t>
  </si>
  <si>
    <t>Correction of Discrepancy</t>
  </si>
  <si>
    <t>Parts produced at Additional Location</t>
  </si>
  <si>
    <t>Other - please specify</t>
  </si>
  <si>
    <t>REQUESTED SUBMISSION LEVEL (Check one)</t>
  </si>
  <si>
    <t>Print Name</t>
  </si>
  <si>
    <t>Phone No.</t>
  </si>
  <si>
    <t>Fax No.</t>
  </si>
  <si>
    <t>EDITION</t>
  </si>
  <si>
    <t>PRINTING</t>
  </si>
  <si>
    <t>Part Name</t>
  </si>
  <si>
    <t>NAME</t>
  </si>
  <si>
    <t>Part Number</t>
  </si>
  <si>
    <t>NUMBER</t>
  </si>
  <si>
    <t>Engineering Change Level</t>
  </si>
  <si>
    <t>Engineering Change Level Date</t>
  </si>
  <si>
    <t>Street Address</t>
  </si>
  <si>
    <t>ADDRESS</t>
  </si>
  <si>
    <t>City</t>
  </si>
  <si>
    <t>CITY</t>
  </si>
  <si>
    <t>State</t>
  </si>
  <si>
    <t>STATE</t>
  </si>
  <si>
    <t>Zip</t>
  </si>
  <si>
    <t>ZIP</t>
  </si>
  <si>
    <t>Phone Number</t>
  </si>
  <si>
    <t>555-555-5555</t>
  </si>
  <si>
    <t>Application</t>
  </si>
  <si>
    <t>THE FOLLOWING LEVELS OF DOCUMENTS WERE USED TO PREPARE THIS WORKBOOK.</t>
  </si>
  <si>
    <t>DOCUMENT</t>
  </si>
  <si>
    <t>ADVANCED PRODUCT QUALITY PLANNING AND CONTROL PLAN REFERENCE MANUAL</t>
  </si>
  <si>
    <t>MEASUREMENT SYSTEM ANALYSIS</t>
  </si>
  <si>
    <t>POTENTIAL FAILURE MODE AND EFFECTS ANALYSIS</t>
  </si>
  <si>
    <t>Fax Number</t>
  </si>
  <si>
    <t>Email Address</t>
  </si>
  <si>
    <t>Emailme@somewhere.com</t>
  </si>
  <si>
    <t>No discernible effect.</t>
  </si>
  <si>
    <t>555-555-5554</t>
  </si>
  <si>
    <t>Country</t>
  </si>
  <si>
    <t>COUNTRY</t>
  </si>
  <si>
    <t>PRODUCTION PART APPROVAL PROCESS</t>
  </si>
  <si>
    <t>ECN DATE</t>
  </si>
  <si>
    <t>ECN</t>
  </si>
  <si>
    <t>Safety and/or Government Regulation</t>
  </si>
  <si>
    <t>CUSTOMER SUBMITTAL INFORMATION</t>
  </si>
  <si>
    <t>Customer Name/Division</t>
  </si>
  <si>
    <t>Is each Customer Tool properly tagged and numbered?</t>
  </si>
  <si>
    <t>Customer Signature</t>
  </si>
  <si>
    <t>Customer Tracking Number (optional)</t>
  </si>
  <si>
    <t>ORGANIZATION MANUFACTURING INFORMATION</t>
  </si>
  <si>
    <t>Region</t>
  </si>
  <si>
    <t>SPECIFICATION / LIMITS</t>
  </si>
  <si>
    <t>QTY. TESTED</t>
  </si>
  <si>
    <t>NOT OK</t>
  </si>
  <si>
    <t>ORGANIZATION MEASUREMENT RESULTS (DATA)</t>
  </si>
  <si>
    <t>DESIGN RECORD CHANGE LEVEL:</t>
  </si>
  <si>
    <t>ORGANIZATION:</t>
  </si>
  <si>
    <t>NAME OF INSPECTION FACILITY:</t>
  </si>
  <si>
    <t>PART NAME:</t>
  </si>
  <si>
    <t>ENGINEERING CHANGE DOCUMENTS:</t>
  </si>
  <si>
    <t>Blanket statements of conformance are unacceptable for any test results.</t>
  </si>
  <si>
    <t>SUPPLIER TEST RESULTS (DATA)</t>
  </si>
  <si>
    <t>Supplier Name</t>
  </si>
  <si>
    <t>SUPPLIER COMPANY</t>
  </si>
  <si>
    <t>Piece 1</t>
  </si>
  <si>
    <t>Piece 2</t>
  </si>
  <si>
    <t>Piece 3</t>
  </si>
  <si>
    <t>PRINT NAME</t>
  </si>
  <si>
    <t>Supplier Number</t>
  </si>
  <si>
    <t>P-NUMBER</t>
  </si>
  <si>
    <t>SUPPLIER NUMBER:</t>
  </si>
  <si>
    <t>DIMENSION / SPECIFICATION</t>
  </si>
  <si>
    <t xml:space="preserve"> </t>
  </si>
  <si>
    <t xml:space="preserve">Thickness </t>
  </si>
  <si>
    <t xml:space="preserve">Permeability </t>
  </si>
  <si>
    <t>Adhesion</t>
  </si>
  <si>
    <t>Ambient Cure Time (if used)</t>
  </si>
  <si>
    <t>Oven Cure Time (if used)</t>
  </si>
  <si>
    <t>R</t>
  </si>
  <si>
    <t>Part Number:</t>
  </si>
  <si>
    <t>Revision Level:</t>
  </si>
  <si>
    <t>Part Description:</t>
  </si>
  <si>
    <t>Supplier Name:</t>
  </si>
  <si>
    <t>Reason for Request:</t>
  </si>
  <si>
    <t>Supplier Number:</t>
  </si>
  <si>
    <t>Date Issued:</t>
  </si>
  <si>
    <t>Submission Due Date:</t>
  </si>
  <si>
    <t>Submission Level</t>
  </si>
  <si>
    <t>PPAP Submission Requirements and Detail Description</t>
  </si>
  <si>
    <t>Additional Submission Instructions below:</t>
  </si>
  <si>
    <t>Part Submission Warrant</t>
  </si>
  <si>
    <t>Organization Name &amp; Supplier/Vendor Code</t>
  </si>
  <si>
    <t>U.S.A.</t>
  </si>
  <si>
    <t>Postal Code</t>
  </si>
  <si>
    <t>MATERIALS REPORTING</t>
  </si>
  <si>
    <t>REASON FOR SUBMISSION (Check at least one)</t>
  </si>
  <si>
    <t>Organization Authorized Signature</t>
  </si>
  <si>
    <t>E-mail</t>
  </si>
  <si>
    <t>PPAP Warrant Disposition:</t>
  </si>
  <si>
    <t>GAGE
TYPE</t>
  </si>
  <si>
    <t>Effect</t>
  </si>
  <si>
    <t>Criteria
Severity of Effect on Product
(Customer Effect)</t>
  </si>
  <si>
    <t>Rank</t>
  </si>
  <si>
    <t>Criteria: 
Severity of Effect on Process
(Manufacturing/Assembly Effect)</t>
  </si>
  <si>
    <t>Failure to Meet Safety and/or Regulatory Requirements</t>
  </si>
  <si>
    <t>Potential failure mode affects safe vehicle operation and/or involves noncompliance with government regulation without warning.</t>
  </si>
  <si>
    <t>Failure to meet safety and/or regulatory requirement</t>
  </si>
  <si>
    <t>May endanger operator (machine or assembly) without warning</t>
  </si>
  <si>
    <t>Potential failure mode affects safe vehicle operation and/or involves noncompliance with government regulation with warning.</t>
  </si>
  <si>
    <t>May endanger operator (machine or assembly) with warning</t>
  </si>
  <si>
    <t>Loss or Degradation of Primary Function</t>
  </si>
  <si>
    <t>Loss of primary function (vehicle inoperable, does not affect safe vehicle operation)</t>
  </si>
  <si>
    <t>Major Disruption</t>
  </si>
  <si>
    <t>100% of product may have to be scrapped. Line shutdown or stop ship.</t>
  </si>
  <si>
    <t>Degradation of primary function (vehicle operable, but at reduced level of performance)</t>
  </si>
  <si>
    <t>Significant disruption</t>
  </si>
  <si>
    <t>A portion of the production run may have to be scrapped. Deviation from primary process including decreased line speed or added manpower.</t>
  </si>
  <si>
    <t>Loss or Degradation of Secondary Function</t>
  </si>
  <si>
    <t>Loss of secondary function (vehicle operable, but comfort/convenience functions inoperable)</t>
  </si>
  <si>
    <t>Moderate disruption</t>
  </si>
  <si>
    <t>100% of product may have to be reworked off line and accepted.</t>
  </si>
  <si>
    <t>Degradation of secondary function (vehicle operable, but comfort/convenience functions at reduced level of performance)</t>
  </si>
  <si>
    <t>A portion of the production run may have to be reworked off line and accepted.</t>
  </si>
  <si>
    <t>Annoyance</t>
  </si>
  <si>
    <t xml:space="preserve">Appearance or Audible Noise, vehicle operable, item does not conform and noticed by most customers (&gt; 75%). </t>
  </si>
  <si>
    <t>100% of production run may have to be reworked in station before it is processed.</t>
  </si>
  <si>
    <t xml:space="preserve">Appearance or Audible Noise, vehicle operable, item does not conform and noticed by many customers (50%). </t>
  </si>
  <si>
    <t>A portion of the production run may have to be reworked in-station before it is processed.</t>
  </si>
  <si>
    <t xml:space="preserve">Appearance or Audible Noise, vehicle operable, item does not conform and noticed by discriminating customers (&lt; 25%). </t>
  </si>
  <si>
    <t>Minor disruption</t>
  </si>
  <si>
    <t>Slight inconvenience to process, operation, or operator.</t>
  </si>
  <si>
    <t>No effect</t>
  </si>
  <si>
    <t>No discernible effects.</t>
  </si>
  <si>
    <t>Likelihood of Failure</t>
  </si>
  <si>
    <t>Criteria: Occurrence of Cause - PFMEA
(Incidents per items/vehicles)</t>
  </si>
  <si>
    <t>Very High</t>
  </si>
  <si>
    <t>≥ 100 per thousand
≥ 1 in 10</t>
  </si>
  <si>
    <t>High</t>
  </si>
  <si>
    <t>50 per thousand 
1 in 20</t>
  </si>
  <si>
    <t>20 per thousand
1 in 50</t>
  </si>
  <si>
    <t>10 per thousand 
1 in 100</t>
  </si>
  <si>
    <t>Moderate</t>
  </si>
  <si>
    <t>2 per thousand
1 in 500</t>
  </si>
  <si>
    <t>.5 per thousand
1 in 2,000</t>
  </si>
  <si>
    <t>.1 per thousand
1 in 10,000</t>
  </si>
  <si>
    <t>Low</t>
  </si>
  <si>
    <t>.01 per thousand
1 in 100,000</t>
  </si>
  <si>
    <t>≤ .001 per thousand
1 in 1,000,000</t>
  </si>
  <si>
    <t>Very Low</t>
  </si>
  <si>
    <t>Failure is eliminated through preventive control.</t>
  </si>
  <si>
    <t>Opportunity for Detection</t>
  </si>
  <si>
    <t>Criteria:
Likelihood of Detection by Process Control</t>
  </si>
  <si>
    <t>Likelihood of Detection</t>
  </si>
  <si>
    <t>No detection opportunity</t>
  </si>
  <si>
    <t>No current process control; Cannot detect or is not analyzed.</t>
  </si>
  <si>
    <t>Almost Impossible</t>
  </si>
  <si>
    <t>Not likely to detect at any stage</t>
  </si>
  <si>
    <t>Failure Mode and/or Error (Cause) is not easily detected (e.g. random audits)</t>
  </si>
  <si>
    <t>Very Remote</t>
  </si>
  <si>
    <t>Problem Detection Post Processing</t>
  </si>
  <si>
    <t>Failure Mode detection post-processing by operator through visual/tactile/audible means.</t>
  </si>
  <si>
    <t>Remote</t>
  </si>
  <si>
    <t>Problem Detection at Source</t>
  </si>
  <si>
    <t>Failure Mode detection in-station by operator through visual/tactile/audible means or post-processing through use of attribute gauging (go/no go, manual torque check/clicker wrench, etc.)</t>
  </si>
  <si>
    <t>Failure Mode detection post-processing by operator through use of variable gauging or in-station by operator through use of attribute gauging (go/no go, manual torque check/clicker wrench, etc.)</t>
  </si>
  <si>
    <t>Failure Mode or Error (Cause) detection in-station by operator through use of variable gauging or by automated controls in-station that will detect discrepant part and notify operator (light, buzzer, etc.). Gauging performed on setup and first-piece check (for set-up causes only).</t>
  </si>
  <si>
    <t>Failure Mode detection post-processing by automated controls that will detect discrepant part and lock part to prevent further processing.</t>
  </si>
  <si>
    <t>Moderately High</t>
  </si>
  <si>
    <t>Failure Mode detection in-station by automated controls that will detect discrepant part and prevent automatically lock part in station to prevent further processing.</t>
  </si>
  <si>
    <t>Error Detection and/or Problem Prevention</t>
  </si>
  <si>
    <t xml:space="preserve">Error (Cause) detection in-station by automated controls that will detect error and prevent discrepant part from being made. </t>
  </si>
  <si>
    <t>Detection not applicable; Failure Prevention</t>
  </si>
  <si>
    <t xml:space="preserve">Error (Cause) prevention as a result of fixture design, machine design or part design. Discrepant parts cannot be made because item has been error-proofed by process/product design. </t>
  </si>
  <si>
    <t>Almost Certain</t>
  </si>
  <si>
    <t xml:space="preserve">S </t>
  </si>
  <si>
    <t>MIN</t>
  </si>
  <si>
    <t>MAX</t>
  </si>
  <si>
    <t>Second edition</t>
  </si>
  <si>
    <t>Third edition</t>
  </si>
  <si>
    <t>Fourth edition</t>
  </si>
  <si>
    <t>Production Part Approval Process (PPAP)</t>
  </si>
  <si>
    <t>Product Program</t>
  </si>
  <si>
    <t>Issue Date</t>
  </si>
  <si>
    <t>ECL</t>
  </si>
  <si>
    <t>Supplier Location</t>
  </si>
  <si>
    <t>Legend:</t>
  </si>
  <si>
    <t xml:space="preserve">     Operation</t>
  </si>
  <si>
    <t xml:space="preserve">   Transportation</t>
  </si>
  <si>
    <t xml:space="preserve">     Inspection</t>
  </si>
  <si>
    <t>Delay</t>
  </si>
  <si>
    <t>Storage</t>
  </si>
  <si>
    <t>Operation or Event</t>
  </si>
  <si>
    <t>Description of</t>
  </si>
  <si>
    <t>Evaluation</t>
  </si>
  <si>
    <t>and Analysis Methods</t>
  </si>
  <si>
    <t>Change History</t>
  </si>
  <si>
    <t>Revision</t>
  </si>
  <si>
    <t xml:space="preserve">DFMEA - DESIGN FAILURE MODES EFFECTS ANALYSIS
</t>
  </si>
  <si>
    <t>System</t>
  </si>
  <si>
    <t>Subsystem</t>
  </si>
  <si>
    <t>Component</t>
  </si>
  <si>
    <t>Design Responsibility:</t>
  </si>
  <si>
    <t>Core Team:</t>
  </si>
  <si>
    <t>Item / 
Function</t>
  </si>
  <si>
    <t>Potential 
Failure 
Mode</t>
  </si>
  <si>
    <t>Potential 
Effect(s) 
of Failure</t>
  </si>
  <si>
    <t>Potential 
Causes(s)/ 
Mechanism(s) 
of Failure</t>
  </si>
  <si>
    <t>Recommended 
Action(s)</t>
  </si>
  <si>
    <t>Responsibility 
&amp; Target 
Completion 
Date</t>
  </si>
  <si>
    <t>Design</t>
  </si>
  <si>
    <t>Actions 
Taken</t>
  </si>
  <si>
    <t xml:space="preserve">       -Prevention</t>
  </si>
  <si>
    <t xml:space="preserve">     -Detection</t>
  </si>
  <si>
    <t xml:space="preserve">PFMEA - PROCESS FAILURE MODES &amp; EFFECTS ANALYSIS
</t>
  </si>
  <si>
    <t xml:space="preserve">     -Prevention</t>
  </si>
  <si>
    <t xml:space="preserve">   -Detection</t>
  </si>
  <si>
    <t xml:space="preserve">CONTROL PLAN
</t>
  </si>
  <si>
    <t>Supplier Code</t>
  </si>
  <si>
    <t>PART/ 
PROCESS
NUMBER</t>
  </si>
  <si>
    <t>PROCESS NAME/
OPERATION
DESCRIPTION</t>
  </si>
  <si>
    <t>MACHINE,
DEVICE
JIG, TOOLS
FOR MFG.</t>
  </si>
  <si>
    <t>SPECIAL
CHAR.
CLASS</t>
  </si>
  <si>
    <t>REACTION
PLAN</t>
  </si>
  <si>
    <t>CONTROL
METHOD</t>
  </si>
  <si>
    <t xml:space="preserve">APPEARANCE APPROVAL REPORT
</t>
  </si>
  <si>
    <t>PART</t>
  </si>
  <si>
    <t>DRAWING</t>
  </si>
  <si>
    <t>APPLICATION</t>
  </si>
  <si>
    <t>(VEHICLES)</t>
  </si>
  <si>
    <t>BUYER</t>
  </si>
  <si>
    <t>E/C LEVEL</t>
  </si>
  <si>
    <t>CODE</t>
  </si>
  <si>
    <t>ORGANIZATION</t>
  </si>
  <si>
    <t>MANUFACTURING</t>
  </si>
  <si>
    <t>SUPPLIER / VENDOR</t>
  </si>
  <si>
    <t>LOCATION</t>
  </si>
  <si>
    <t>REASON FOR</t>
  </si>
  <si>
    <t>PART SUBMISSION WARRANT</t>
  </si>
  <si>
    <t>SPECIAL SAMPLE</t>
  </si>
  <si>
    <t>RE-SUBMISSION</t>
  </si>
  <si>
    <t>OTHER</t>
  </si>
  <si>
    <t>SUBMISSION</t>
  </si>
  <si>
    <t>PRE TEXTURE</t>
  </si>
  <si>
    <t>FIRST PRODUCTION SHIPMENT</t>
  </si>
  <si>
    <t>ENGINEERING CHANGE</t>
  </si>
  <si>
    <t>APPEARANCE EVALUATION</t>
  </si>
  <si>
    <t xml:space="preserve">  AUTHORIZED CUSTOMER</t>
  </si>
  <si>
    <t>ORGANIZATION SOURCING AND TEXTURE INFORMATION</t>
  </si>
  <si>
    <t xml:space="preserve">   PRE-TEXTURE</t>
  </si>
  <si>
    <t xml:space="preserve">  REPRESENTATIVE</t>
  </si>
  <si>
    <t xml:space="preserve">   EVALUATION</t>
  </si>
  <si>
    <t xml:space="preserve">  SIGNATURE AND DATE</t>
  </si>
  <si>
    <t>CORRECT AND PROCEED</t>
  </si>
  <si>
    <t>APPROVED TO ETCH/TOOL/EDM</t>
  </si>
  <si>
    <t>COLOR EVALUATION</t>
  </si>
  <si>
    <t>METALLIC</t>
  </si>
  <si>
    <t>COLOR</t>
  </si>
  <si>
    <t>TRISTIMULUS DATA</t>
  </si>
  <si>
    <t>MASTER</t>
  </si>
  <si>
    <t>MATERIAL</t>
  </si>
  <si>
    <t>HUE</t>
  </si>
  <si>
    <t>VALUE</t>
  </si>
  <si>
    <t>CHROMA</t>
  </si>
  <si>
    <t>GLOSS</t>
  </si>
  <si>
    <t>BRILLIANCE</t>
  </si>
  <si>
    <t>SHIPPING</t>
  </si>
  <si>
    <t>SUFFIX</t>
  </si>
  <si>
    <t>DL*</t>
  </si>
  <si>
    <t>Da*</t>
  </si>
  <si>
    <t>Db*</t>
  </si>
  <si>
    <t>DE*</t>
  </si>
  <si>
    <t>CMC</t>
  </si>
  <si>
    <t>TYPE</t>
  </si>
  <si>
    <t>SOURCE</t>
  </si>
  <si>
    <t>RED</t>
  </si>
  <si>
    <t>YEL</t>
  </si>
  <si>
    <t>GRN</t>
  </si>
  <si>
    <t>BLU</t>
  </si>
  <si>
    <t>LIGHT</t>
  </si>
  <si>
    <t>DARK</t>
  </si>
  <si>
    <t>GRAY</t>
  </si>
  <si>
    <t>CLEAN</t>
  </si>
  <si>
    <t>HIGH</t>
  </si>
  <si>
    <t>LOW</t>
  </si>
  <si>
    <t>DISPOSITION</t>
  </si>
  <si>
    <t>COMMENTS</t>
  </si>
  <si>
    <t>PHONE NO.</t>
  </si>
  <si>
    <t>AUTHORIZED CUSTOMER</t>
  </si>
  <si>
    <t>REPRESENTATIVE SIGNATURE</t>
  </si>
  <si>
    <t>Gage Name</t>
  </si>
  <si>
    <t>Appraiser</t>
  </si>
  <si>
    <t>Gage Number</t>
  </si>
  <si>
    <t>Date Performed</t>
  </si>
  <si>
    <t>Characteristic</t>
  </si>
  <si>
    <t>Gage Type</t>
  </si>
  <si>
    <t>Upper Limit</t>
  </si>
  <si>
    <t>Lower Limit</t>
  </si>
  <si>
    <t>ATTRIBUTE DATA</t>
  </si>
  <si>
    <t>#</t>
  </si>
  <si>
    <t>After entering data, follow the directions on the tab marked</t>
  </si>
  <si>
    <t>'Graph' to create the Gage Performance Curve</t>
  </si>
  <si>
    <t>FROM THE GRAPH</t>
  </si>
  <si>
    <t>ENTER THE FOLLOWING:</t>
  </si>
  <si>
    <t>Measurement Unit Analysis</t>
  </si>
  <si>
    <t xml:space="preserve">  Bias</t>
  </si>
  <si>
    <t xml:space="preserve">  Repeatability</t>
  </si>
  <si>
    <t>B</t>
  </si>
  <si>
    <t>=</t>
  </si>
  <si>
    <t xml:space="preserve">  t Statistic</t>
  </si>
  <si>
    <t>31.3 IBI / R</t>
  </si>
  <si>
    <t xml:space="preserve">  Result</t>
  </si>
  <si>
    <t>Reviewed</t>
  </si>
  <si>
    <r>
      <t>X</t>
    </r>
    <r>
      <rPr>
        <vertAlign val="subscript"/>
        <sz val="10"/>
        <rFont val="Arial"/>
        <family val="2"/>
      </rPr>
      <t>T</t>
    </r>
  </si>
  <si>
    <r>
      <t>P'</t>
    </r>
    <r>
      <rPr>
        <vertAlign val="subscript"/>
        <sz val="10"/>
        <rFont val="Arial"/>
        <family val="2"/>
      </rPr>
      <t>a</t>
    </r>
  </si>
  <si>
    <r>
      <t>X</t>
    </r>
    <r>
      <rPr>
        <vertAlign val="subscript"/>
        <sz val="10"/>
        <rFont val="Arial"/>
        <family val="2"/>
      </rPr>
      <t>T</t>
    </r>
    <r>
      <rPr>
        <sz val="10"/>
        <rFont val="Arial"/>
        <family val="2"/>
      </rPr>
      <t xml:space="preserve"> (P=.5) =</t>
    </r>
  </si>
  <si>
    <r>
      <t>X</t>
    </r>
    <r>
      <rPr>
        <vertAlign val="subscript"/>
        <sz val="10"/>
        <rFont val="Arial"/>
        <family val="2"/>
      </rPr>
      <t xml:space="preserve">T </t>
    </r>
    <r>
      <rPr>
        <sz val="10"/>
        <rFont val="Arial"/>
        <family val="2"/>
      </rPr>
      <t>(P=.995) =</t>
    </r>
  </si>
  <si>
    <r>
      <t>X</t>
    </r>
    <r>
      <rPr>
        <vertAlign val="subscript"/>
        <sz val="10"/>
        <rFont val="Arial"/>
        <family val="2"/>
      </rPr>
      <t xml:space="preserve">T </t>
    </r>
    <r>
      <rPr>
        <sz val="10"/>
        <rFont val="Arial"/>
        <family val="2"/>
      </rPr>
      <t>(P=.005) =</t>
    </r>
  </si>
  <si>
    <r>
      <t>t</t>
    </r>
    <r>
      <rPr>
        <vertAlign val="subscript"/>
        <sz val="10"/>
        <rFont val="Arial"/>
        <family val="2"/>
      </rPr>
      <t>0.025,19</t>
    </r>
  </si>
  <si>
    <t>Directions for Gage Performance Curve for Attribute Analytical Method Form</t>
  </si>
  <si>
    <t>1)  Click Tools - Data Analysis - Regression</t>
  </si>
  <si>
    <t xml:space="preserve">     (If Data Analysis is not available load Analysis Tool Pak from the Add-Ins menu)</t>
  </si>
  <si>
    <t>2)  In the box for Input Y Range select the cells GR&amp;R ATT(L)!D14:D22</t>
  </si>
  <si>
    <t>3)  In the box for Input X Range select the cells GR&amp;R ATT(L)!B14:B22</t>
  </si>
  <si>
    <t>4)  In the box for Output range select the cells below A23:M60</t>
  </si>
  <si>
    <t>5)  Check Line Fit Plots</t>
  </si>
  <si>
    <t>6)  Press OK</t>
  </si>
  <si>
    <t>7)  Copy the Line Fit plot graph to the space on the Analytic sheet</t>
  </si>
  <si>
    <t>8)  Change the graph title to Gage Performance Curve</t>
  </si>
  <si>
    <t>9)  Change the x axis to Xt</t>
  </si>
  <si>
    <t>10)  Change the y axis to Probability</t>
  </si>
  <si>
    <t>Appraiser A</t>
  </si>
  <si>
    <t>Appraiser B</t>
  </si>
  <si>
    <t>Upper Specification</t>
  </si>
  <si>
    <t>Lower Specification</t>
  </si>
  <si>
    <t>Appraiser C</t>
  </si>
  <si>
    <t>DATA TABLE</t>
  </si>
  <si>
    <t>AB Tabulation</t>
  </si>
  <si>
    <t>BC Tabulation</t>
  </si>
  <si>
    <t>AC Tabulation</t>
  </si>
  <si>
    <t>A-1</t>
  </si>
  <si>
    <t>A-2</t>
  </si>
  <si>
    <t>A-3</t>
  </si>
  <si>
    <t>B-1</t>
  </si>
  <si>
    <t>B-2</t>
  </si>
  <si>
    <t>B-3</t>
  </si>
  <si>
    <t>C-1</t>
  </si>
  <si>
    <t>C-2</t>
  </si>
  <si>
    <t>C-3</t>
  </si>
  <si>
    <t>Reference</t>
  </si>
  <si>
    <t>Reference Value</t>
  </si>
  <si>
    <t>Code</t>
  </si>
  <si>
    <t>DATA TABLE CONTINUED</t>
  </si>
  <si>
    <t>Risk Analysis</t>
  </si>
  <si>
    <t>A * B Crosstabulation</t>
  </si>
  <si>
    <t>Total</t>
  </si>
  <si>
    <t>A</t>
  </si>
  <si>
    <t>Count</t>
  </si>
  <si>
    <t>Expected Count</t>
  </si>
  <si>
    <t>B * C Crosstabulation</t>
  </si>
  <si>
    <t>A * C Crosstabulation</t>
  </si>
  <si>
    <t>Kappa</t>
  </si>
  <si>
    <t>-</t>
  </si>
  <si>
    <t>DETERMINATION</t>
  </si>
  <si>
    <t>A x B</t>
  </si>
  <si>
    <t>A x C</t>
  </si>
  <si>
    <t>B x C</t>
  </si>
  <si>
    <t>Approved for Use</t>
  </si>
  <si>
    <t>GAGE REPEATABILITY AND REPRODUCIBILITY DATA SHEET</t>
  </si>
  <si>
    <t>VARIABLE DATA RESULTS</t>
  </si>
  <si>
    <t>Specification</t>
  </si>
  <si>
    <t>Lower</t>
  </si>
  <si>
    <t>Upper</t>
  </si>
  <si>
    <t>Characteristic Classification</t>
  </si>
  <si>
    <t>Trials</t>
  </si>
  <si>
    <t>Parts</t>
  </si>
  <si>
    <t>Appraisers</t>
  </si>
  <si>
    <t>APPRAISER/</t>
  </si>
  <si>
    <t>AVERAGE</t>
  </si>
  <si>
    <t>% Total Variation (TV)</t>
  </si>
  <si>
    <t>TRIAL #</t>
  </si>
  <si>
    <t xml:space="preserve">  Repeatability - Equipment Variation (EV)</t>
  </si>
  <si>
    <t>1.  A</t>
  </si>
  <si>
    <t>EV</t>
  </si>
  <si>
    <t>K1</t>
  </si>
  <si>
    <t>% EV</t>
  </si>
  <si>
    <t>100 (EV/TV)</t>
  </si>
  <si>
    <t>AVE</t>
  </si>
  <si>
    <t xml:space="preserve">  Reproducibility - Appraiser Variation (AV)</t>
  </si>
  <si>
    <t>AV</t>
  </si>
  <si>
    <t>% AV</t>
  </si>
  <si>
    <t>100 (AV/TV)</t>
  </si>
  <si>
    <t>6.  B</t>
  </si>
  <si>
    <t xml:space="preserve">           n = parts        r = trials</t>
  </si>
  <si>
    <t xml:space="preserve">  Repeatability &amp; Reproducibility (GRR)</t>
  </si>
  <si>
    <t>% GRR</t>
  </si>
  <si>
    <t>100 (GRR/TV)</t>
  </si>
  <si>
    <t>11.  C</t>
  </si>
  <si>
    <t>GRR</t>
  </si>
  <si>
    <t xml:space="preserve">  Part Variation (PV)</t>
  </si>
  <si>
    <t>PV</t>
  </si>
  <si>
    <t>% PV</t>
  </si>
  <si>
    <t>100 (PV/TV)</t>
  </si>
  <si>
    <t xml:space="preserve">16. PART </t>
  </si>
  <si>
    <r>
      <t>X</t>
    </r>
    <r>
      <rPr>
        <sz val="10"/>
        <rFont val="Arial"/>
        <family val="2"/>
      </rPr>
      <t>=</t>
    </r>
  </si>
  <si>
    <t xml:space="preserve">   AVERAGE</t>
  </si>
  <si>
    <r>
      <t>R</t>
    </r>
    <r>
      <rPr>
        <sz val="10"/>
        <rFont val="Arial"/>
        <family val="2"/>
      </rPr>
      <t>=</t>
    </r>
  </si>
  <si>
    <t xml:space="preserve">  Total Variation (TV)</t>
  </si>
  <si>
    <t>TV</t>
  </si>
  <si>
    <t>ndc</t>
  </si>
  <si>
    <t>1.41(PV/GRR)</t>
  </si>
  <si>
    <t>beyond this limit.  Identify the cause and correct.  Repeat these readings using the same appraiser and unit as originally used or</t>
  </si>
  <si>
    <t>Notes:</t>
  </si>
  <si>
    <t>% Tolerance (Tol)</t>
  </si>
  <si>
    <t>100 (EV/Tol)</t>
  </si>
  <si>
    <t>100 (AV/Tol)</t>
  </si>
  <si>
    <t>100 (GRR/Tol)</t>
  </si>
  <si>
    <t>100 (PV/Tol)</t>
  </si>
  <si>
    <t xml:space="preserve">  Tolerance (Tol)</t>
  </si>
  <si>
    <t>Tol</t>
  </si>
  <si>
    <t>Upper - Lower / 6</t>
  </si>
  <si>
    <t>ANOVA METHOD</t>
  </si>
  <si>
    <t>squared</t>
  </si>
  <si>
    <t>/nr</t>
  </si>
  <si>
    <t>/nkr</t>
  </si>
  <si>
    <t>/kr</t>
  </si>
  <si>
    <t>/r</t>
  </si>
  <si>
    <t>Squared</t>
  </si>
  <si>
    <t>Part 1</t>
  </si>
  <si>
    <t>Part 2</t>
  </si>
  <si>
    <t>Part 3</t>
  </si>
  <si>
    <t>Part 4</t>
  </si>
  <si>
    <t>Part 5</t>
  </si>
  <si>
    <t>Part 6</t>
  </si>
  <si>
    <t>Part 7</t>
  </si>
  <si>
    <t>Part 8</t>
  </si>
  <si>
    <t>Part 9</t>
  </si>
  <si>
    <t>Part 10</t>
  </si>
  <si>
    <t>Appr A</t>
  </si>
  <si>
    <t>Trial 1</t>
  </si>
  <si>
    <t>Trial 2</t>
  </si>
  <si>
    <t>Trial 3</t>
  </si>
  <si>
    <t>nr</t>
  </si>
  <si>
    <t>Appr B</t>
  </si>
  <si>
    <t>nkr</t>
  </si>
  <si>
    <t>kr</t>
  </si>
  <si>
    <t>Appr C</t>
  </si>
  <si>
    <t>Anova Table</t>
  </si>
  <si>
    <t>Source</t>
  </si>
  <si>
    <t>DF</t>
  </si>
  <si>
    <t>SS</t>
  </si>
  <si>
    <t>MS</t>
  </si>
  <si>
    <t>F</t>
  </si>
  <si>
    <t>Sig</t>
  </si>
  <si>
    <t>Appraiser-by-Part</t>
  </si>
  <si>
    <t>Equipment</t>
  </si>
  <si>
    <t>Anova Report</t>
  </si>
  <si>
    <t>% Total Variation</t>
  </si>
  <si>
    <t>% Contribution</t>
  </si>
  <si>
    <t>Repeatability (EV)</t>
  </si>
  <si>
    <t>Reproducibility (AV)</t>
  </si>
  <si>
    <t>Appraiser by Part (INT)</t>
  </si>
  <si>
    <t>Part-to-Part (PV)</t>
  </si>
  <si>
    <t>Note:</t>
  </si>
  <si>
    <t>Tolerance =</t>
  </si>
  <si>
    <t>Total variation (TV) =</t>
  </si>
  <si>
    <t>Number of distinct data categories (ndc) =</t>
  </si>
  <si>
    <t xml:space="preserve">GAGE R&amp;R
</t>
  </si>
  <si>
    <t>GRAPHICAL ANALYSIS</t>
  </si>
  <si>
    <t xml:space="preserve">     AVE ( Xp )</t>
  </si>
  <si>
    <t>The REFERENCE VALUE can be substituted for PART AVE to generate graphs indication true bias.</t>
  </si>
  <si>
    <t>Supporting line</t>
  </si>
  <si>
    <t>Upper Spec</t>
  </si>
  <si>
    <t>Lower Spec</t>
  </si>
  <si>
    <t>Rucl</t>
  </si>
  <si>
    <t>Analysis:</t>
  </si>
  <si>
    <t>Supporting Data</t>
  </si>
  <si>
    <t>Mean</t>
  </si>
  <si>
    <t>Range</t>
  </si>
  <si>
    <t>UCL B</t>
  </si>
  <si>
    <t>LCL B</t>
  </si>
  <si>
    <t>UCL C</t>
  </si>
  <si>
    <t>LCL C</t>
  </si>
  <si>
    <t>Rucl B</t>
  </si>
  <si>
    <t>Rucl C</t>
  </si>
  <si>
    <t>A1</t>
  </si>
  <si>
    <t>A2</t>
  </si>
  <si>
    <t>A3</t>
  </si>
  <si>
    <t>B1</t>
  </si>
  <si>
    <t>B2</t>
  </si>
  <si>
    <t>B3</t>
  </si>
  <si>
    <t>C1</t>
  </si>
  <si>
    <t>C2</t>
  </si>
  <si>
    <t>C3</t>
  </si>
  <si>
    <t>A Value</t>
  </si>
  <si>
    <t>B Value</t>
  </si>
  <si>
    <t>C Value</t>
  </si>
  <si>
    <t>Max</t>
  </si>
  <si>
    <t>+</t>
  </si>
  <si>
    <t>Min</t>
  </si>
  <si>
    <t>supporting data</t>
  </si>
  <si>
    <t>divisions</t>
  </si>
  <si>
    <t xml:space="preserve">X BAR &amp; R
VARIABLES CONTROL CHART
</t>
  </si>
  <si>
    <t>PART NO.</t>
  </si>
  <si>
    <t>CHART NO.</t>
  </si>
  <si>
    <t>MEASUREMENT EVALUATION</t>
  </si>
  <si>
    <t>PART NAME (Product)</t>
  </si>
  <si>
    <t>OPERATION (Process)</t>
  </si>
  <si>
    <t>SPECIFICATION LIMITS</t>
  </si>
  <si>
    <t>APPRAISER A</t>
  </si>
  <si>
    <t>APPRAISER B</t>
  </si>
  <si>
    <t>APPRAISER C</t>
  </si>
  <si>
    <t>MACHINE</t>
  </si>
  <si>
    <t>GAGE</t>
  </si>
  <si>
    <t>UNIT OF MEASURE</t>
  </si>
  <si>
    <t>ZERO EQUALS</t>
  </si>
  <si>
    <t>UCL =</t>
  </si>
  <si>
    <t>LCL =</t>
  </si>
  <si>
    <t>AVERAGES (X BAR CHART)</t>
  </si>
  <si>
    <t>X BAR CHART INFORMATION</t>
  </si>
  <si>
    <t>DATAPOINT</t>
  </si>
  <si>
    <t>UCL LINE</t>
  </si>
  <si>
    <t>X</t>
  </si>
  <si>
    <t>LCL LINE</t>
  </si>
  <si>
    <t>RANGES (R CHART)</t>
  </si>
  <si>
    <t>RANGE CHART INFORMATION</t>
  </si>
  <si>
    <t>RANGE</t>
  </si>
  <si>
    <t>PART NUMBER</t>
  </si>
  <si>
    <t>EA</t>
  </si>
  <si>
    <t>D I</t>
  </si>
  <si>
    <t>NG</t>
  </si>
  <si>
    <t>SUM</t>
  </si>
  <si>
    <t>x</t>
  </si>
  <si>
    <t>SUM NUM</t>
  </si>
  <si>
    <t>HIGH- LOW</t>
  </si>
  <si>
    <t>** = POINT OUT OF CONTROL</t>
  </si>
  <si>
    <t>Computations for the Control Chart Method of Evaluating a Measurement Process</t>
  </si>
  <si>
    <t>REPLICATION ERROR:</t>
  </si>
  <si>
    <t xml:space="preserve">Number of replications = Subgroup Size = r  = </t>
  </si>
  <si>
    <t>CALCULATION FOR APPRAISER EFFECT:</t>
  </si>
  <si>
    <t>Appraiser Averages</t>
  </si>
  <si>
    <t>Average</t>
  </si>
  <si>
    <t>Number of Samples = n =</t>
  </si>
  <si>
    <t>CALCULATIONS FOR MEASUREMENT ERROR STANDARD DEVIATION:</t>
  </si>
  <si>
    <t>CALCULATIONS FOR SIGNAL TO NOISE RATIO:</t>
  </si>
  <si>
    <t>Sample Averages</t>
  </si>
  <si>
    <t>Sample</t>
  </si>
  <si>
    <t>Estimate Sample to Sample Standard Deviation:</t>
  </si>
  <si>
    <t>Signal to Noise Ratio:</t>
  </si>
  <si>
    <t>Thus the number of distinct categories that can be reliably distinguished by these measurements is:</t>
  </si>
  <si>
    <t>ndc =</t>
  </si>
  <si>
    <t>This is the number of non-overlapping 97% confidence intervals that will span the range of product variation.  (A 97% confidence</t>
  </si>
  <si>
    <t>interval centered on a single measurement would contain the actual product value that is represented by that measurement 97%</t>
  </si>
  <si>
    <t>of the time.)</t>
  </si>
  <si>
    <t xml:space="preserve">GAGE STUDY - X BAR &amp; R
</t>
  </si>
  <si>
    <t>GAGE R STUDY</t>
  </si>
  <si>
    <t xml:space="preserve">APPRAISER </t>
  </si>
  <si>
    <t>UPPER SPECIFICATION</t>
  </si>
  <si>
    <t>LOWER SPECIFICATION</t>
  </si>
  <si>
    <t>E2</t>
  </si>
  <si>
    <t>READING</t>
  </si>
  <si>
    <t>n/a</t>
  </si>
  <si>
    <t>GAGE R ANALYSIS</t>
  </si>
  <si>
    <t>Data in control?</t>
  </si>
  <si>
    <t>% Repeatability =</t>
  </si>
  <si>
    <t>This method CANNOT be used for final gage acceptance without other complete and detailed MSA methods.</t>
  </si>
  <si>
    <r>
      <t>R</t>
    </r>
    <r>
      <rPr>
        <sz val="10"/>
        <rFont val="Arial"/>
        <family val="2"/>
      </rPr>
      <t xml:space="preserve">  x  K</t>
    </r>
    <r>
      <rPr>
        <vertAlign val="subscript"/>
        <sz val="10"/>
        <rFont val="Arial"/>
        <family val="2"/>
      </rPr>
      <t>1</t>
    </r>
  </si>
  <si>
    <r>
      <t>x</t>
    </r>
    <r>
      <rPr>
        <vertAlign val="subscript"/>
        <sz val="10"/>
        <rFont val="Arial"/>
        <family val="2"/>
      </rPr>
      <t>a</t>
    </r>
    <r>
      <rPr>
        <sz val="10"/>
        <rFont val="Arial"/>
        <family val="2"/>
      </rPr>
      <t>=</t>
    </r>
  </si>
  <si>
    <r>
      <t>r</t>
    </r>
    <r>
      <rPr>
        <vertAlign val="subscript"/>
        <sz val="10"/>
        <rFont val="Arial"/>
        <family val="2"/>
      </rPr>
      <t>a</t>
    </r>
    <r>
      <rPr>
        <sz val="10"/>
        <rFont val="Arial"/>
        <family val="2"/>
      </rPr>
      <t>=</t>
    </r>
  </si>
  <si>
    <r>
      <t>{(</t>
    </r>
    <r>
      <rPr>
        <sz val="12"/>
        <rFont val="Statistical Symbols"/>
      </rPr>
      <t>x</t>
    </r>
    <r>
      <rPr>
        <vertAlign val="subscript"/>
        <sz val="10"/>
        <rFont val="Arial"/>
        <family val="2"/>
      </rPr>
      <t>DIFF</t>
    </r>
    <r>
      <rPr>
        <sz val="10"/>
        <rFont val="Arial"/>
        <family val="2"/>
      </rPr>
      <t xml:space="preserve"> x K</t>
    </r>
    <r>
      <rPr>
        <vertAlign val="subscript"/>
        <sz val="10"/>
        <rFont val="Arial"/>
        <family val="2"/>
      </rPr>
      <t>2</t>
    </r>
    <r>
      <rPr>
        <sz val="10"/>
        <rFont val="Arial"/>
        <family val="2"/>
      </rPr>
      <t>)</t>
    </r>
    <r>
      <rPr>
        <vertAlign val="superscript"/>
        <sz val="10"/>
        <rFont val="Arial"/>
        <family val="2"/>
      </rPr>
      <t>2</t>
    </r>
    <r>
      <rPr>
        <sz val="10"/>
        <rFont val="Arial"/>
        <family val="2"/>
      </rPr>
      <t xml:space="preserve"> - (EV</t>
    </r>
    <r>
      <rPr>
        <vertAlign val="superscript"/>
        <sz val="10"/>
        <rFont val="Arial"/>
        <family val="2"/>
      </rPr>
      <t>2</t>
    </r>
    <r>
      <rPr>
        <sz val="10"/>
        <rFont val="Arial"/>
        <family val="2"/>
      </rPr>
      <t>/nr)}</t>
    </r>
    <r>
      <rPr>
        <vertAlign val="superscript"/>
        <sz val="10"/>
        <rFont val="Arial"/>
        <family val="2"/>
      </rPr>
      <t>1/2</t>
    </r>
  </si>
  <si>
    <r>
      <t>x</t>
    </r>
    <r>
      <rPr>
        <vertAlign val="subscript"/>
        <sz val="10"/>
        <rFont val="Arial"/>
        <family val="2"/>
      </rPr>
      <t>b</t>
    </r>
    <r>
      <rPr>
        <sz val="10"/>
        <rFont val="Arial"/>
        <family val="2"/>
      </rPr>
      <t>=</t>
    </r>
  </si>
  <si>
    <r>
      <t>K</t>
    </r>
    <r>
      <rPr>
        <vertAlign val="subscript"/>
        <sz val="10"/>
        <rFont val="Arial"/>
        <family val="2"/>
      </rPr>
      <t>2</t>
    </r>
  </si>
  <si>
    <r>
      <t>r</t>
    </r>
    <r>
      <rPr>
        <vertAlign val="subscript"/>
        <sz val="10"/>
        <rFont val="Arial"/>
        <family val="2"/>
      </rPr>
      <t>b</t>
    </r>
    <r>
      <rPr>
        <sz val="10"/>
        <rFont val="Arial"/>
        <family val="2"/>
      </rPr>
      <t>=</t>
    </r>
  </si>
  <si>
    <r>
      <t>{(EV</t>
    </r>
    <r>
      <rPr>
        <vertAlign val="superscript"/>
        <sz val="10"/>
        <rFont val="Arial"/>
        <family val="2"/>
      </rPr>
      <t>2</t>
    </r>
    <r>
      <rPr>
        <sz val="10"/>
        <rFont val="Arial"/>
        <family val="2"/>
      </rPr>
      <t xml:space="preserve"> + AV</t>
    </r>
    <r>
      <rPr>
        <vertAlign val="superscript"/>
        <sz val="10"/>
        <rFont val="Arial"/>
        <family val="2"/>
      </rPr>
      <t>2</t>
    </r>
    <r>
      <rPr>
        <sz val="10"/>
        <rFont val="Arial"/>
        <family val="2"/>
      </rPr>
      <t>)}</t>
    </r>
    <r>
      <rPr>
        <vertAlign val="superscript"/>
        <sz val="10"/>
        <rFont val="Arial"/>
        <family val="2"/>
      </rPr>
      <t>1/2</t>
    </r>
  </si>
  <si>
    <r>
      <t>K</t>
    </r>
    <r>
      <rPr>
        <b/>
        <vertAlign val="subscript"/>
        <sz val="10"/>
        <rFont val="Arial"/>
        <family val="2"/>
      </rPr>
      <t>3</t>
    </r>
  </si>
  <si>
    <r>
      <t>x</t>
    </r>
    <r>
      <rPr>
        <vertAlign val="subscript"/>
        <sz val="10"/>
        <rFont val="Arial"/>
        <family val="2"/>
      </rPr>
      <t>c</t>
    </r>
    <r>
      <rPr>
        <sz val="10"/>
        <rFont val="Arial"/>
        <family val="2"/>
      </rPr>
      <t>=</t>
    </r>
  </si>
  <si>
    <r>
      <t>r</t>
    </r>
    <r>
      <rPr>
        <vertAlign val="subscript"/>
        <sz val="10"/>
        <rFont val="Arial"/>
        <family val="2"/>
      </rPr>
      <t>c</t>
    </r>
    <r>
      <rPr>
        <sz val="10"/>
        <rFont val="Arial"/>
        <family val="2"/>
      </rPr>
      <t>=</t>
    </r>
  </si>
  <si>
    <r>
      <t>R</t>
    </r>
    <r>
      <rPr>
        <vertAlign val="subscript"/>
        <sz val="10"/>
        <rFont val="Arial"/>
        <family val="2"/>
      </rPr>
      <t>P</t>
    </r>
    <r>
      <rPr>
        <sz val="10"/>
        <rFont val="Arial"/>
        <family val="2"/>
      </rPr>
      <t xml:space="preserve"> x K</t>
    </r>
    <r>
      <rPr>
        <vertAlign val="subscript"/>
        <sz val="10"/>
        <rFont val="Arial"/>
        <family val="2"/>
      </rPr>
      <t>3</t>
    </r>
  </si>
  <si>
    <r>
      <t>R</t>
    </r>
    <r>
      <rPr>
        <vertAlign val="subscript"/>
        <sz val="10"/>
        <rFont val="Arial"/>
        <family val="2"/>
      </rPr>
      <t>p</t>
    </r>
    <r>
      <rPr>
        <sz val="10"/>
        <rFont val="Arial"/>
        <family val="2"/>
      </rPr>
      <t>=</t>
    </r>
  </si>
  <si>
    <r>
      <t>(</t>
    </r>
    <r>
      <rPr>
        <sz val="12"/>
        <rFont val="Statistical Symbols"/>
      </rPr>
      <t>r</t>
    </r>
    <r>
      <rPr>
        <vertAlign val="subscript"/>
        <sz val="10"/>
        <rFont val="Arial"/>
        <family val="2"/>
      </rPr>
      <t>a</t>
    </r>
    <r>
      <rPr>
        <sz val="10"/>
        <rFont val="Arial"/>
        <family val="2"/>
      </rPr>
      <t xml:space="preserve"> + </t>
    </r>
    <r>
      <rPr>
        <sz val="12"/>
        <rFont val="Statistical Symbols"/>
      </rPr>
      <t>r</t>
    </r>
    <r>
      <rPr>
        <vertAlign val="subscript"/>
        <sz val="10"/>
        <rFont val="Arial"/>
        <family val="2"/>
      </rPr>
      <t>b</t>
    </r>
    <r>
      <rPr>
        <sz val="10"/>
        <rFont val="Arial"/>
        <family val="2"/>
      </rPr>
      <t xml:space="preserve"> + </t>
    </r>
    <r>
      <rPr>
        <sz val="12"/>
        <rFont val="Statistical Symbols"/>
      </rPr>
      <t>r</t>
    </r>
    <r>
      <rPr>
        <vertAlign val="subscript"/>
        <sz val="10"/>
        <rFont val="Arial"/>
        <family val="2"/>
      </rPr>
      <t>c</t>
    </r>
    <r>
      <rPr>
        <sz val="10"/>
        <rFont val="Arial"/>
        <family val="2"/>
      </rPr>
      <t>) / (# OF APPRAISERS) =</t>
    </r>
  </si>
  <si>
    <r>
      <t>x</t>
    </r>
    <r>
      <rPr>
        <vertAlign val="subscript"/>
        <sz val="10"/>
        <rFont val="Arial"/>
        <family val="2"/>
      </rPr>
      <t>DIFF</t>
    </r>
    <r>
      <rPr>
        <sz val="10"/>
        <rFont val="Arial"/>
        <family val="2"/>
      </rPr>
      <t xml:space="preserve"> = (Max </t>
    </r>
    <r>
      <rPr>
        <sz val="12"/>
        <rFont val="Statistical Symbols"/>
      </rPr>
      <t>x</t>
    </r>
    <r>
      <rPr>
        <sz val="10"/>
        <rFont val="Arial"/>
        <family val="2"/>
      </rPr>
      <t xml:space="preserve"> - Min </t>
    </r>
    <r>
      <rPr>
        <sz val="12"/>
        <rFont val="Statistical Symbols"/>
      </rPr>
      <t>x</t>
    </r>
    <r>
      <rPr>
        <sz val="10"/>
        <rFont val="Arial"/>
        <family val="2"/>
      </rPr>
      <t>) =</t>
    </r>
  </si>
  <si>
    <r>
      <t>x</t>
    </r>
    <r>
      <rPr>
        <vertAlign val="subscript"/>
        <sz val="10"/>
        <rFont val="Arial"/>
        <family val="2"/>
      </rPr>
      <t>DIFF</t>
    </r>
    <r>
      <rPr>
        <sz val="10"/>
        <rFont val="Arial"/>
        <family val="2"/>
      </rPr>
      <t>=</t>
    </r>
  </si>
  <si>
    <r>
      <t>{(GRR</t>
    </r>
    <r>
      <rPr>
        <vertAlign val="superscript"/>
        <sz val="10"/>
        <rFont val="Arial"/>
        <family val="2"/>
      </rPr>
      <t>2</t>
    </r>
    <r>
      <rPr>
        <sz val="10"/>
        <rFont val="Arial"/>
        <family val="2"/>
      </rPr>
      <t xml:space="preserve"> + PV</t>
    </r>
    <r>
      <rPr>
        <vertAlign val="superscript"/>
        <sz val="10"/>
        <rFont val="Arial"/>
        <family val="2"/>
      </rPr>
      <t>2</t>
    </r>
    <r>
      <rPr>
        <sz val="10"/>
        <rFont val="Arial"/>
        <family val="2"/>
      </rPr>
      <t>)}</t>
    </r>
    <r>
      <rPr>
        <vertAlign val="superscript"/>
        <sz val="10"/>
        <rFont val="Arial"/>
        <family val="2"/>
      </rPr>
      <t>1/2</t>
    </r>
  </si>
  <si>
    <r>
      <t>* UCL</t>
    </r>
    <r>
      <rPr>
        <vertAlign val="subscript"/>
        <sz val="10"/>
        <rFont val="Arial"/>
        <family val="2"/>
      </rPr>
      <t>R</t>
    </r>
    <r>
      <rPr>
        <sz val="10"/>
        <rFont val="Arial"/>
        <family val="2"/>
      </rPr>
      <t xml:space="preserve"> =</t>
    </r>
    <r>
      <rPr>
        <sz val="12"/>
        <rFont val="Arial"/>
        <family val="2"/>
      </rPr>
      <t xml:space="preserve"> </t>
    </r>
    <r>
      <rPr>
        <sz val="12"/>
        <rFont val="Statistical Symbols"/>
      </rPr>
      <t>R</t>
    </r>
    <r>
      <rPr>
        <sz val="10"/>
        <rFont val="Arial"/>
        <family val="2"/>
      </rPr>
      <t xml:space="preserve"> x D</t>
    </r>
    <r>
      <rPr>
        <vertAlign val="subscript"/>
        <sz val="10"/>
        <rFont val="Arial"/>
        <family val="2"/>
      </rPr>
      <t>4</t>
    </r>
    <r>
      <rPr>
        <sz val="10"/>
        <rFont val="Arial"/>
        <family val="2"/>
      </rPr>
      <t xml:space="preserve"> =</t>
    </r>
  </si>
  <si>
    <r>
      <t>UCL</t>
    </r>
    <r>
      <rPr>
        <vertAlign val="subscript"/>
        <sz val="10"/>
        <rFont val="Arial"/>
        <family val="2"/>
      </rPr>
      <t>R</t>
    </r>
    <r>
      <rPr>
        <sz val="10"/>
        <rFont val="Arial"/>
        <family val="2"/>
      </rPr>
      <t>=</t>
    </r>
  </si>
  <si>
    <r>
      <t>* D</t>
    </r>
    <r>
      <rPr>
        <vertAlign val="subscript"/>
        <sz val="8"/>
        <rFont val="Arial"/>
        <family val="2"/>
      </rPr>
      <t>4</t>
    </r>
    <r>
      <rPr>
        <sz val="8"/>
        <rFont val="Arial"/>
        <family val="2"/>
      </rPr>
      <t xml:space="preserve"> =3.27 for 2 trials and 2.58 for 3 trials.  </t>
    </r>
    <r>
      <rPr>
        <sz val="8"/>
        <rFont val="Arial"/>
        <family val="2"/>
      </rPr>
      <t>UCL</t>
    </r>
    <r>
      <rPr>
        <vertAlign val="subscript"/>
        <sz val="8"/>
        <rFont val="Arial"/>
        <family val="2"/>
      </rPr>
      <t>R</t>
    </r>
    <r>
      <rPr>
        <sz val="8"/>
        <rFont val="Arial"/>
        <family val="2"/>
      </rPr>
      <t xml:space="preserve"> represents the limit of individual R's.  Circle those that are</t>
    </r>
  </si>
  <si>
    <r>
      <t xml:space="preserve">discard values and re-average and recompute </t>
    </r>
    <r>
      <rPr>
        <sz val="10"/>
        <rFont val="Statistical Symbols"/>
      </rPr>
      <t>R</t>
    </r>
    <r>
      <rPr>
        <sz val="8"/>
        <rFont val="Arial"/>
        <family val="2"/>
      </rPr>
      <t xml:space="preserve"> and the limiting value from the remaining observations.</t>
    </r>
  </si>
  <si>
    <r>
      <t xml:space="preserve">   For information on the theory and constants used in the form see </t>
    </r>
    <r>
      <rPr>
        <i/>
        <sz val="10"/>
        <rFont val="Arial"/>
        <family val="2"/>
      </rPr>
      <t>MSA Reference Manual</t>
    </r>
    <r>
      <rPr>
        <sz val="10"/>
        <rFont val="Arial"/>
        <family val="2"/>
      </rPr>
      <t>, Third edition.</t>
    </r>
  </si>
  <si>
    <r>
      <t>x</t>
    </r>
    <r>
      <rPr>
        <vertAlign val="subscript"/>
        <sz val="10"/>
        <rFont val="Arial"/>
        <family val="2"/>
      </rPr>
      <t>.1.</t>
    </r>
  </si>
  <si>
    <r>
      <t>x</t>
    </r>
    <r>
      <rPr>
        <vertAlign val="subscript"/>
        <sz val="10"/>
        <rFont val="Arial"/>
        <family val="2"/>
      </rPr>
      <t>11.</t>
    </r>
  </si>
  <si>
    <r>
      <t>x</t>
    </r>
    <r>
      <rPr>
        <vertAlign val="subscript"/>
        <sz val="10"/>
        <rFont val="Arial"/>
        <family val="2"/>
      </rPr>
      <t>.2.</t>
    </r>
  </si>
  <si>
    <r>
      <t>x</t>
    </r>
    <r>
      <rPr>
        <vertAlign val="subscript"/>
        <sz val="10"/>
        <rFont val="Arial"/>
        <family val="2"/>
      </rPr>
      <t>21.</t>
    </r>
  </si>
  <si>
    <r>
      <t>x</t>
    </r>
    <r>
      <rPr>
        <vertAlign val="subscript"/>
        <sz val="10"/>
        <rFont val="Arial"/>
        <family val="2"/>
      </rPr>
      <t>.3.</t>
    </r>
  </si>
  <si>
    <r>
      <t>x</t>
    </r>
    <r>
      <rPr>
        <vertAlign val="subscript"/>
        <sz val="10"/>
        <rFont val="Arial"/>
        <family val="2"/>
      </rPr>
      <t>31.</t>
    </r>
  </si>
  <si>
    <r>
      <t>x</t>
    </r>
    <r>
      <rPr>
        <vertAlign val="subscript"/>
        <sz val="10"/>
        <rFont val="Arial"/>
        <family val="2"/>
      </rPr>
      <t>…</t>
    </r>
  </si>
  <si>
    <r>
      <t>x</t>
    </r>
    <r>
      <rPr>
        <vertAlign val="subscript"/>
        <sz val="10"/>
        <rFont val="Arial"/>
        <family val="2"/>
      </rPr>
      <t>41.</t>
    </r>
  </si>
  <si>
    <r>
      <t>x</t>
    </r>
    <r>
      <rPr>
        <vertAlign val="subscript"/>
        <sz val="10"/>
        <rFont val="Arial"/>
        <family val="2"/>
      </rPr>
      <t>51.</t>
    </r>
  </si>
  <si>
    <r>
      <t>x</t>
    </r>
    <r>
      <rPr>
        <vertAlign val="subscript"/>
        <sz val="10"/>
        <rFont val="Arial"/>
        <family val="2"/>
      </rPr>
      <t>61.</t>
    </r>
  </si>
  <si>
    <r>
      <t>x</t>
    </r>
    <r>
      <rPr>
        <vertAlign val="subscript"/>
        <sz val="10"/>
        <rFont val="Arial"/>
        <family val="2"/>
      </rPr>
      <t>71.</t>
    </r>
  </si>
  <si>
    <r>
      <t>x</t>
    </r>
    <r>
      <rPr>
        <vertAlign val="subscript"/>
        <sz val="10"/>
        <rFont val="Arial"/>
        <family val="2"/>
      </rPr>
      <t>1..</t>
    </r>
  </si>
  <si>
    <r>
      <t>x</t>
    </r>
    <r>
      <rPr>
        <vertAlign val="subscript"/>
        <sz val="10"/>
        <rFont val="Arial"/>
        <family val="2"/>
      </rPr>
      <t>81.</t>
    </r>
  </si>
  <si>
    <r>
      <t>x</t>
    </r>
    <r>
      <rPr>
        <vertAlign val="subscript"/>
        <sz val="10"/>
        <rFont val="Arial"/>
        <family val="2"/>
      </rPr>
      <t>2..</t>
    </r>
  </si>
  <si>
    <r>
      <t>x</t>
    </r>
    <r>
      <rPr>
        <vertAlign val="subscript"/>
        <sz val="10"/>
        <rFont val="Arial"/>
        <family val="2"/>
      </rPr>
      <t>91.</t>
    </r>
  </si>
  <si>
    <r>
      <t>x</t>
    </r>
    <r>
      <rPr>
        <vertAlign val="subscript"/>
        <sz val="10"/>
        <rFont val="Arial"/>
        <family val="2"/>
      </rPr>
      <t>3..</t>
    </r>
  </si>
  <si>
    <r>
      <t>x</t>
    </r>
    <r>
      <rPr>
        <vertAlign val="subscript"/>
        <sz val="10"/>
        <rFont val="Arial"/>
        <family val="2"/>
      </rPr>
      <t>101.</t>
    </r>
  </si>
  <si>
    <r>
      <t>x</t>
    </r>
    <r>
      <rPr>
        <vertAlign val="subscript"/>
        <sz val="10"/>
        <rFont val="Arial"/>
        <family val="2"/>
      </rPr>
      <t>4..</t>
    </r>
  </si>
  <si>
    <r>
      <t>x</t>
    </r>
    <r>
      <rPr>
        <vertAlign val="subscript"/>
        <sz val="10"/>
        <rFont val="Arial"/>
        <family val="2"/>
      </rPr>
      <t>12.</t>
    </r>
  </si>
  <si>
    <r>
      <t>x</t>
    </r>
    <r>
      <rPr>
        <vertAlign val="subscript"/>
        <sz val="10"/>
        <rFont val="Arial"/>
        <family val="2"/>
      </rPr>
      <t>5..</t>
    </r>
  </si>
  <si>
    <r>
      <t>x</t>
    </r>
    <r>
      <rPr>
        <vertAlign val="subscript"/>
        <sz val="10"/>
        <rFont val="Arial"/>
        <family val="2"/>
      </rPr>
      <t>22.</t>
    </r>
  </si>
  <si>
    <r>
      <t>x</t>
    </r>
    <r>
      <rPr>
        <vertAlign val="subscript"/>
        <sz val="10"/>
        <rFont val="Arial"/>
        <family val="2"/>
      </rPr>
      <t>6..</t>
    </r>
  </si>
  <si>
    <r>
      <t>x</t>
    </r>
    <r>
      <rPr>
        <vertAlign val="subscript"/>
        <sz val="10"/>
        <rFont val="Arial"/>
        <family val="2"/>
      </rPr>
      <t>32.</t>
    </r>
  </si>
  <si>
    <r>
      <t>x</t>
    </r>
    <r>
      <rPr>
        <vertAlign val="subscript"/>
        <sz val="10"/>
        <rFont val="Arial"/>
        <family val="2"/>
      </rPr>
      <t>7..</t>
    </r>
  </si>
  <si>
    <r>
      <t>x</t>
    </r>
    <r>
      <rPr>
        <vertAlign val="subscript"/>
        <sz val="10"/>
        <rFont val="Arial"/>
        <family val="2"/>
      </rPr>
      <t>42.</t>
    </r>
  </si>
  <si>
    <r>
      <t>x</t>
    </r>
    <r>
      <rPr>
        <vertAlign val="subscript"/>
        <sz val="10"/>
        <rFont val="Arial"/>
        <family val="2"/>
      </rPr>
      <t>8..</t>
    </r>
  </si>
  <si>
    <r>
      <t>x</t>
    </r>
    <r>
      <rPr>
        <vertAlign val="subscript"/>
        <sz val="10"/>
        <rFont val="Arial"/>
        <family val="2"/>
      </rPr>
      <t>52.</t>
    </r>
  </si>
  <si>
    <r>
      <t>x</t>
    </r>
    <r>
      <rPr>
        <vertAlign val="subscript"/>
        <sz val="10"/>
        <rFont val="Arial"/>
        <family val="2"/>
      </rPr>
      <t>9..</t>
    </r>
  </si>
  <si>
    <r>
      <t>x</t>
    </r>
    <r>
      <rPr>
        <vertAlign val="subscript"/>
        <sz val="10"/>
        <rFont val="Arial"/>
        <family val="2"/>
      </rPr>
      <t>62.</t>
    </r>
  </si>
  <si>
    <r>
      <t>x</t>
    </r>
    <r>
      <rPr>
        <vertAlign val="subscript"/>
        <sz val="10"/>
        <rFont val="Arial"/>
        <family val="2"/>
      </rPr>
      <t>10..</t>
    </r>
  </si>
  <si>
    <r>
      <t>x</t>
    </r>
    <r>
      <rPr>
        <vertAlign val="subscript"/>
        <sz val="10"/>
        <rFont val="Arial"/>
        <family val="2"/>
      </rPr>
      <t>72.</t>
    </r>
  </si>
  <si>
    <r>
      <t>x</t>
    </r>
    <r>
      <rPr>
        <vertAlign val="subscript"/>
        <sz val="10"/>
        <rFont val="Arial"/>
        <family val="2"/>
      </rPr>
      <t>82.</t>
    </r>
  </si>
  <si>
    <r>
      <t>x</t>
    </r>
    <r>
      <rPr>
        <vertAlign val="subscript"/>
        <sz val="10"/>
        <rFont val="Arial"/>
        <family val="2"/>
      </rPr>
      <t>92.</t>
    </r>
  </si>
  <si>
    <r>
      <t>x</t>
    </r>
    <r>
      <rPr>
        <vertAlign val="subscript"/>
        <sz val="10"/>
        <rFont val="Arial"/>
        <family val="2"/>
      </rPr>
      <t>102.</t>
    </r>
  </si>
  <si>
    <r>
      <t>x</t>
    </r>
    <r>
      <rPr>
        <vertAlign val="subscript"/>
        <sz val="10"/>
        <rFont val="Arial"/>
        <family val="2"/>
      </rPr>
      <t>13.</t>
    </r>
  </si>
  <si>
    <r>
      <t>x</t>
    </r>
    <r>
      <rPr>
        <vertAlign val="subscript"/>
        <sz val="10"/>
        <rFont val="Arial"/>
        <family val="2"/>
      </rPr>
      <t>23.</t>
    </r>
  </si>
  <si>
    <r>
      <t>x</t>
    </r>
    <r>
      <rPr>
        <vertAlign val="subscript"/>
        <sz val="10"/>
        <rFont val="Arial"/>
        <family val="2"/>
      </rPr>
      <t>33.</t>
    </r>
  </si>
  <si>
    <r>
      <t>x</t>
    </r>
    <r>
      <rPr>
        <vertAlign val="subscript"/>
        <sz val="10"/>
        <rFont val="Arial"/>
        <family val="2"/>
      </rPr>
      <t>43.</t>
    </r>
  </si>
  <si>
    <r>
      <t>x</t>
    </r>
    <r>
      <rPr>
        <vertAlign val="subscript"/>
        <sz val="10"/>
        <rFont val="Arial"/>
        <family val="2"/>
      </rPr>
      <t>53.</t>
    </r>
  </si>
  <si>
    <r>
      <t>x</t>
    </r>
    <r>
      <rPr>
        <vertAlign val="subscript"/>
        <sz val="10"/>
        <rFont val="Arial"/>
        <family val="2"/>
      </rPr>
      <t>63.</t>
    </r>
  </si>
  <si>
    <r>
      <t xml:space="preserve">* Significant at </t>
    </r>
    <r>
      <rPr>
        <sz val="10"/>
        <rFont val="Symbol"/>
        <family val="1"/>
        <charset val="2"/>
      </rPr>
      <t>a</t>
    </r>
    <r>
      <rPr>
        <sz val="10"/>
        <rFont val="Arial"/>
        <family val="2"/>
      </rPr>
      <t xml:space="preserve"> = 0.05 level</t>
    </r>
  </si>
  <si>
    <r>
      <t>x</t>
    </r>
    <r>
      <rPr>
        <vertAlign val="subscript"/>
        <sz val="10"/>
        <rFont val="Arial"/>
        <family val="2"/>
      </rPr>
      <t>73.</t>
    </r>
  </si>
  <si>
    <r>
      <t>x</t>
    </r>
    <r>
      <rPr>
        <vertAlign val="subscript"/>
        <sz val="10"/>
        <rFont val="Arial"/>
        <family val="2"/>
      </rPr>
      <t>83.</t>
    </r>
  </si>
  <si>
    <r>
      <t>x</t>
    </r>
    <r>
      <rPr>
        <vertAlign val="subscript"/>
        <sz val="10"/>
        <rFont val="Arial"/>
        <family val="2"/>
      </rPr>
      <t>93.</t>
    </r>
  </si>
  <si>
    <r>
      <t>x</t>
    </r>
    <r>
      <rPr>
        <vertAlign val="subscript"/>
        <sz val="10"/>
        <rFont val="Arial"/>
        <family val="2"/>
      </rPr>
      <t>103.</t>
    </r>
  </si>
  <si>
    <r>
      <t>Standard Deviation (</t>
    </r>
    <r>
      <rPr>
        <b/>
        <sz val="10"/>
        <rFont val="Symbol"/>
        <family val="1"/>
        <charset val="2"/>
      </rPr>
      <t>s</t>
    </r>
    <r>
      <rPr>
        <b/>
        <sz val="10"/>
        <rFont val="Arial"/>
        <family val="2"/>
      </rPr>
      <t>)</t>
    </r>
  </si>
  <si>
    <r>
      <t>MS</t>
    </r>
    <r>
      <rPr>
        <vertAlign val="subscript"/>
        <sz val="10"/>
        <rFont val="Arial"/>
        <family val="2"/>
      </rPr>
      <t>pool</t>
    </r>
  </si>
  <si>
    <r>
      <t xml:space="preserve">VARIABLES CONTROL CHART ( </t>
    </r>
    <r>
      <rPr>
        <sz val="8"/>
        <rFont val="Statistical Symbols"/>
      </rPr>
      <t>x</t>
    </r>
    <r>
      <rPr>
        <sz val="8"/>
        <rFont val="Arial"/>
        <family val="2"/>
      </rPr>
      <t xml:space="preserve"> &amp; R )</t>
    </r>
  </si>
  <si>
    <r>
      <t>x</t>
    </r>
    <r>
      <rPr>
        <sz val="8"/>
        <rFont val="Arial"/>
        <family val="2"/>
      </rPr>
      <t xml:space="preserve"> =</t>
    </r>
  </si>
  <si>
    <r>
      <t>A</t>
    </r>
    <r>
      <rPr>
        <vertAlign val="subscript"/>
        <sz val="10"/>
        <rFont val="Arial"/>
        <family val="2"/>
      </rPr>
      <t>2</t>
    </r>
    <r>
      <rPr>
        <sz val="10"/>
        <rFont val="Arial"/>
        <family val="2"/>
      </rPr>
      <t>=</t>
    </r>
  </si>
  <si>
    <r>
      <t>r</t>
    </r>
    <r>
      <rPr>
        <sz val="8"/>
        <rFont val="Arial"/>
        <family val="2"/>
      </rPr>
      <t xml:space="preserve"> =</t>
    </r>
  </si>
  <si>
    <r>
      <t xml:space="preserve">Average Subgroup Range = </t>
    </r>
    <r>
      <rPr>
        <sz val="10"/>
        <rFont val="Statistical Symbols"/>
      </rPr>
      <t>r</t>
    </r>
    <r>
      <rPr>
        <sz val="10"/>
        <rFont val="Arial"/>
        <family val="2"/>
      </rPr>
      <t xml:space="preserve"> =</t>
    </r>
  </si>
  <si>
    <r>
      <t>d</t>
    </r>
    <r>
      <rPr>
        <b/>
        <vertAlign val="subscript"/>
        <sz val="10"/>
        <rFont val="Arial"/>
        <family val="2"/>
      </rPr>
      <t>2</t>
    </r>
  </si>
  <si>
    <r>
      <t xml:space="preserve">Estimate Replication Standard Deviation </t>
    </r>
    <r>
      <rPr>
        <sz val="10"/>
        <rFont val="Statistical Symbols"/>
      </rPr>
      <t>r</t>
    </r>
    <r>
      <rPr>
        <sz val="10"/>
        <rFont val="Arial"/>
        <family val="2"/>
      </rPr>
      <t xml:space="preserve"> / d</t>
    </r>
    <r>
      <rPr>
        <vertAlign val="subscript"/>
        <sz val="10"/>
        <rFont val="Arial"/>
        <family val="2"/>
      </rPr>
      <t>2</t>
    </r>
    <r>
      <rPr>
        <sz val="10"/>
        <rFont val="Arial"/>
        <family val="2"/>
      </rPr>
      <t xml:space="preserve"> = </t>
    </r>
    <r>
      <rPr>
        <sz val="10"/>
        <rFont val="Symbol"/>
        <family val="1"/>
        <charset val="2"/>
      </rPr>
      <t>s</t>
    </r>
    <r>
      <rPr>
        <vertAlign val="subscript"/>
        <sz val="10"/>
        <rFont val="Arial"/>
        <family val="2"/>
      </rPr>
      <t>e</t>
    </r>
    <r>
      <rPr>
        <sz val="10"/>
        <rFont val="Arial"/>
        <family val="2"/>
      </rPr>
      <t xml:space="preserve"> =</t>
    </r>
  </si>
  <si>
    <r>
      <t>n</t>
    </r>
    <r>
      <rPr>
        <b/>
        <vertAlign val="subscript"/>
        <sz val="10"/>
        <rFont val="Arial"/>
        <family val="2"/>
      </rPr>
      <t>o</t>
    </r>
  </si>
  <si>
    <r>
      <t>d</t>
    </r>
    <r>
      <rPr>
        <b/>
        <vertAlign val="subscript"/>
        <sz val="10"/>
        <rFont val="Arial"/>
        <family val="2"/>
      </rPr>
      <t>2</t>
    </r>
    <r>
      <rPr>
        <b/>
        <sz val="10"/>
        <rFont val="Arial"/>
        <family val="2"/>
      </rPr>
      <t>*</t>
    </r>
  </si>
  <si>
    <r>
      <t>Number of Appraisers = n</t>
    </r>
    <r>
      <rPr>
        <vertAlign val="subscript"/>
        <sz val="10"/>
        <rFont val="Arial"/>
        <family val="2"/>
      </rPr>
      <t>A</t>
    </r>
    <r>
      <rPr>
        <sz val="10"/>
        <rFont val="Arial"/>
        <family val="2"/>
      </rPr>
      <t xml:space="preserve"> =</t>
    </r>
  </si>
  <si>
    <r>
      <t>Range of Appraiser Averages = R</t>
    </r>
    <r>
      <rPr>
        <vertAlign val="subscript"/>
        <sz val="10"/>
        <rFont val="Arial"/>
        <family val="2"/>
      </rPr>
      <t xml:space="preserve">A = </t>
    </r>
  </si>
  <si>
    <r>
      <t>Appraiser Effect =</t>
    </r>
    <r>
      <rPr>
        <sz val="10"/>
        <rFont val="Arial"/>
        <family val="2"/>
      </rPr>
      <t xml:space="preserve"> R</t>
    </r>
    <r>
      <rPr>
        <vertAlign val="subscript"/>
        <sz val="10"/>
        <rFont val="Arial"/>
        <family val="2"/>
      </rPr>
      <t>A</t>
    </r>
    <r>
      <rPr>
        <sz val="10"/>
        <rFont val="Arial"/>
        <family val="2"/>
      </rPr>
      <t xml:space="preserve"> / d</t>
    </r>
    <r>
      <rPr>
        <vertAlign val="subscript"/>
        <sz val="10"/>
        <rFont val="Arial"/>
        <family val="2"/>
      </rPr>
      <t>2</t>
    </r>
    <r>
      <rPr>
        <sz val="10"/>
        <rFont val="Arial"/>
        <family val="2"/>
      </rPr>
      <t>*</t>
    </r>
    <r>
      <rPr>
        <sz val="10"/>
        <rFont val="Arial"/>
        <family val="2"/>
      </rPr>
      <t xml:space="preserve"> = </t>
    </r>
    <r>
      <rPr>
        <sz val="10"/>
        <rFont val="Symbol"/>
        <family val="1"/>
        <charset val="2"/>
      </rPr>
      <t>s</t>
    </r>
    <r>
      <rPr>
        <vertAlign val="subscript"/>
        <sz val="10"/>
        <rFont val="Arial"/>
        <family val="2"/>
      </rPr>
      <t>A</t>
    </r>
    <r>
      <rPr>
        <sz val="10"/>
        <rFont val="Arial"/>
        <family val="2"/>
      </rPr>
      <t xml:space="preserve"> = </t>
    </r>
  </si>
  <si>
    <r>
      <t>s</t>
    </r>
    <r>
      <rPr>
        <vertAlign val="subscript"/>
        <sz val="10"/>
        <rFont val="Arial"/>
        <family val="2"/>
      </rPr>
      <t>m</t>
    </r>
    <r>
      <rPr>
        <sz val="10"/>
        <rFont val="Arial"/>
        <family val="2"/>
      </rPr>
      <t/>
    </r>
  </si>
  <si>
    <r>
      <t xml:space="preserve">SQRT ( </t>
    </r>
    <r>
      <rPr>
        <sz val="10"/>
        <rFont val="Symbol"/>
        <family val="1"/>
        <charset val="2"/>
      </rPr>
      <t>s</t>
    </r>
    <r>
      <rPr>
        <vertAlign val="subscript"/>
        <sz val="10"/>
        <rFont val="Arial"/>
        <family val="2"/>
      </rPr>
      <t>e</t>
    </r>
    <r>
      <rPr>
        <sz val="10"/>
        <rFont val="Arial"/>
        <family val="2"/>
      </rPr>
      <t xml:space="preserve"> + </t>
    </r>
    <r>
      <rPr>
        <sz val="10"/>
        <rFont val="Symbol"/>
        <family val="1"/>
        <charset val="2"/>
      </rPr>
      <t>s</t>
    </r>
    <r>
      <rPr>
        <vertAlign val="subscript"/>
        <sz val="10"/>
        <rFont val="Arial"/>
        <family val="2"/>
      </rPr>
      <t>A</t>
    </r>
    <r>
      <rPr>
        <sz val="10"/>
        <rFont val="Arial"/>
        <family val="2"/>
      </rPr>
      <t xml:space="preserve"> )</t>
    </r>
  </si>
  <si>
    <r>
      <t>Range for these Sample Averages = R</t>
    </r>
    <r>
      <rPr>
        <vertAlign val="subscript"/>
        <sz val="10"/>
        <rFont val="Arial"/>
        <family val="2"/>
      </rPr>
      <t>p</t>
    </r>
    <r>
      <rPr>
        <sz val="10"/>
        <rFont val="Arial"/>
        <family val="2"/>
      </rPr>
      <t xml:space="preserve"> =</t>
    </r>
  </si>
  <si>
    <r>
      <t>s</t>
    </r>
    <r>
      <rPr>
        <vertAlign val="subscript"/>
        <sz val="10"/>
        <rFont val="Arial"/>
        <family val="2"/>
      </rPr>
      <t>p</t>
    </r>
    <r>
      <rPr>
        <sz val="10"/>
        <rFont val="Arial"/>
        <family val="2"/>
      </rPr>
      <t/>
    </r>
  </si>
  <si>
    <r>
      <t>R</t>
    </r>
    <r>
      <rPr>
        <vertAlign val="subscript"/>
        <sz val="10"/>
        <rFont val="Arial"/>
        <family val="2"/>
      </rPr>
      <t>p</t>
    </r>
    <r>
      <rPr>
        <sz val="10"/>
        <rFont val="Arial"/>
        <family val="2"/>
      </rPr>
      <t xml:space="preserve"> / d</t>
    </r>
    <r>
      <rPr>
        <vertAlign val="subscript"/>
        <sz val="10"/>
        <rFont val="Arial"/>
        <family val="2"/>
      </rPr>
      <t>2</t>
    </r>
    <r>
      <rPr>
        <sz val="10"/>
        <rFont val="Arial"/>
        <family val="2"/>
      </rPr>
      <t>*</t>
    </r>
    <r>
      <rPr>
        <sz val="10"/>
        <rFont val="Arial"/>
        <family val="2"/>
      </rPr>
      <t xml:space="preserve"> =</t>
    </r>
  </si>
  <si>
    <r>
      <t>s</t>
    </r>
    <r>
      <rPr>
        <vertAlign val="subscript"/>
        <sz val="10"/>
        <rFont val="Arial"/>
        <family val="2"/>
      </rPr>
      <t>p</t>
    </r>
    <r>
      <rPr>
        <sz val="10"/>
        <rFont val="Arial"/>
        <family val="2"/>
      </rPr>
      <t xml:space="preserve"> / </t>
    </r>
    <r>
      <rPr>
        <sz val="10"/>
        <rFont val="Symbol"/>
        <family val="1"/>
        <charset val="2"/>
      </rPr>
      <t>s</t>
    </r>
    <r>
      <rPr>
        <vertAlign val="subscript"/>
        <sz val="10"/>
        <rFont val="Arial"/>
        <family val="2"/>
      </rPr>
      <t>m</t>
    </r>
    <r>
      <rPr>
        <sz val="10"/>
        <rFont val="Arial"/>
        <family val="2"/>
      </rPr>
      <t xml:space="preserve"> =</t>
    </r>
  </si>
  <si>
    <r>
      <t xml:space="preserve">1.41 x </t>
    </r>
    <r>
      <rPr>
        <sz val="10"/>
        <rFont val="Symbol"/>
        <family val="1"/>
        <charset val="2"/>
      </rPr>
      <t>s</t>
    </r>
    <r>
      <rPr>
        <vertAlign val="subscript"/>
        <sz val="10"/>
        <rFont val="Arial"/>
        <family val="2"/>
      </rPr>
      <t>p</t>
    </r>
    <r>
      <rPr>
        <sz val="10"/>
        <rFont val="Arial"/>
        <family val="2"/>
      </rPr>
      <t xml:space="preserve"> / </t>
    </r>
    <r>
      <rPr>
        <sz val="10"/>
        <rFont val="Symbol"/>
        <family val="1"/>
        <charset val="2"/>
      </rPr>
      <t>s</t>
    </r>
    <r>
      <rPr>
        <vertAlign val="subscript"/>
        <sz val="10"/>
        <rFont val="Arial"/>
        <family val="2"/>
      </rPr>
      <t>m</t>
    </r>
    <r>
      <rPr>
        <sz val="10"/>
        <rFont val="Arial"/>
        <family val="2"/>
      </rPr>
      <t xml:space="preserve"> =</t>
    </r>
  </si>
  <si>
    <t xml:space="preserve">Process Step / 
Function
</t>
  </si>
  <si>
    <t>Requirements</t>
  </si>
  <si>
    <t>Rev #</t>
  </si>
  <si>
    <t>REV #</t>
  </si>
  <si>
    <t>Models / Vehicle</t>
  </si>
  <si>
    <t>MODEL / VEHICLE</t>
  </si>
  <si>
    <t>Model Year(s)/Vehicle(s):</t>
  </si>
  <si>
    <t>Key Date:</t>
  </si>
  <si>
    <t>Date (Orig.):</t>
  </si>
  <si>
    <t>Date (Rev.):</t>
  </si>
  <si>
    <t>PPAP SAMPLE PARTS</t>
  </si>
  <si>
    <t>INSPECTION VERIFICATION REQUIRED</t>
  </si>
  <si>
    <t xml:space="preserve">Purchased Order#: </t>
  </si>
  <si>
    <t xml:space="preserve">Part Number: </t>
  </si>
  <si>
    <t xml:space="preserve">Revision Level: </t>
  </si>
  <si>
    <r>
      <t xml:space="preserve">6.) Design Failure Modes effects Analysis (DFMEA) - </t>
    </r>
    <r>
      <rPr>
        <b/>
        <i/>
        <sz val="10"/>
        <rFont val="Arial"/>
        <family val="2"/>
      </rPr>
      <t>if design responsible</t>
    </r>
  </si>
  <si>
    <t>7.) Process Flow Diagram (PFD)</t>
  </si>
  <si>
    <t>8.) Process Failure Modes Effects Analysis (PFMEA)</t>
  </si>
  <si>
    <t>(Check items that have been submitted within this PPAP submission)</t>
  </si>
  <si>
    <t>(Check items that have been submitted within this PPAP Submission - See PPAP Requirements Tab for Definition)</t>
  </si>
  <si>
    <t>Criteria: Occurrence of Cause - DFMEA
(Design life/reliability of item/vehicle)</t>
  </si>
  <si>
    <t>Criteria: Occurrence of Cause - DFMEA
(Incidents per item/vehicle)</t>
  </si>
  <si>
    <t>Criteria:
Likelihood of Detection by Design Control</t>
  </si>
  <si>
    <t>New technology/new design with no history.</t>
  </si>
  <si>
    <t>No current design control; Cannot detect or is not analyzed.</t>
  </si>
  <si>
    <t>Failure is inevitable with new design, new application, or change in duty cycle/operating conditions</t>
  </si>
  <si>
    <t>50 per thousand
1 in 20</t>
  </si>
  <si>
    <t>Failure is likely with new design, new application, or change in duty cycle/operating conditions</t>
  </si>
  <si>
    <t>Post Design Freeze and prior to launch</t>
  </si>
  <si>
    <t>Failure is uncertain with new design, new application, or change in duty cycle/operating conditions</t>
  </si>
  <si>
    <t>10 per thousand
1 in 100</t>
  </si>
  <si>
    <t>Frequent failures associated with similar designs or in design simulation and testing.</t>
  </si>
  <si>
    <t>Occasional failures associated with similar designs or in design simulation and testing.</t>
  </si>
  <si>
    <t>Prior to Design Freeze</t>
  </si>
  <si>
    <t>Isolated failures associated with similar designs or in design simulation and testing.</t>
  </si>
  <si>
    <t>.1 per thousand
1 in 2,000</t>
  </si>
  <si>
    <t>Only isolated failures associated with almost identical design or in design simulation and testing.</t>
  </si>
  <si>
    <t>No observed failures associated with almost identical design or in design simulation and testing.</t>
  </si>
  <si>
    <t>≤ .001 per thousand 
1 in 1,000,000</t>
  </si>
  <si>
    <t>Virtual Analysis - Correlated</t>
  </si>
  <si>
    <t>Failure is eliminated through preventive control</t>
  </si>
  <si>
    <t>Failure cause or failure mode can not occur because it is fully prevented through design solutions (e.g., proven design standard, best practice or common material, etc.)</t>
  </si>
  <si>
    <r>
      <t xml:space="preserve">Design analysis/detection controls have a weak detection capability; Virtual Analysis (e.g. CAE, FEA, etc.) is </t>
    </r>
    <r>
      <rPr>
        <b/>
        <u/>
        <sz val="12"/>
        <rFont val="Arial"/>
        <family val="2"/>
      </rPr>
      <t>not correlated</t>
    </r>
    <r>
      <rPr>
        <sz val="12"/>
        <rFont val="Arial"/>
        <family val="2"/>
      </rPr>
      <t xml:space="preserve"> to expected actual operating conditions.</t>
    </r>
  </si>
  <si>
    <r>
      <t xml:space="preserve">Product verification/validation after design freeze and prior to launch with </t>
    </r>
    <r>
      <rPr>
        <b/>
        <u/>
        <sz val="12"/>
        <rFont val="Arial"/>
        <family val="2"/>
      </rPr>
      <t>pass/fail</t>
    </r>
    <r>
      <rPr>
        <sz val="12"/>
        <rFont val="Arial"/>
        <family val="2"/>
      </rPr>
      <t xml:space="preserve"> testing (Subsystem or system testing with acceptance criteria such as ride handling, shipping evaluation, etc.)</t>
    </r>
  </si>
  <si>
    <r>
      <t xml:space="preserve">Product verification/validation after design freeze and prior to launch with </t>
    </r>
    <r>
      <rPr>
        <b/>
        <u/>
        <sz val="12"/>
        <rFont val="Arial"/>
        <family val="2"/>
      </rPr>
      <t>test to failure</t>
    </r>
    <r>
      <rPr>
        <sz val="12"/>
        <rFont val="Arial"/>
        <family val="2"/>
      </rPr>
      <t xml:space="preserve"> testing (Subsystem or system testing until failure occurs, testing of system interactions, etc.)</t>
    </r>
  </si>
  <si>
    <r>
      <t xml:space="preserve">Product verification/validation after design freeze and prior to launch with </t>
    </r>
    <r>
      <rPr>
        <b/>
        <u/>
        <sz val="12"/>
        <rFont val="Arial"/>
        <family val="2"/>
      </rPr>
      <t>degradation</t>
    </r>
    <r>
      <rPr>
        <sz val="12"/>
        <rFont val="Arial"/>
        <family val="2"/>
      </rPr>
      <t xml:space="preserve"> testing (Subsystem or system testing after durability test, e.g. function check).</t>
    </r>
  </si>
  <si>
    <r>
      <t xml:space="preserve">Product validation (reliability testing, development or validation tests) prior to design freeze using </t>
    </r>
    <r>
      <rPr>
        <b/>
        <u/>
        <sz val="12"/>
        <rFont val="Arial"/>
        <family val="2"/>
      </rPr>
      <t>pass/fail</t>
    </r>
    <r>
      <rPr>
        <sz val="12"/>
        <rFont val="Arial"/>
        <family val="2"/>
      </rPr>
      <t xml:space="preserve"> testing (e.g. acceptance criteria for performance, function checks, etc.)</t>
    </r>
  </si>
  <si>
    <r>
      <t xml:space="preserve">Product validation (reliability testing, development or validation tests) prior to design freeze using </t>
    </r>
    <r>
      <rPr>
        <b/>
        <u/>
        <sz val="12"/>
        <rFont val="Arial"/>
        <family val="2"/>
      </rPr>
      <t>test to failure</t>
    </r>
    <r>
      <rPr>
        <sz val="12"/>
        <rFont val="Arial"/>
        <family val="2"/>
      </rPr>
      <t xml:space="preserve"> (e.g. until leaks, yields, cracks, etc.)</t>
    </r>
  </si>
  <si>
    <r>
      <t xml:space="preserve">Product validation (reliability testing, development or validation tests) prior to design freeze using </t>
    </r>
    <r>
      <rPr>
        <b/>
        <u/>
        <sz val="12"/>
        <rFont val="Arial"/>
        <family val="2"/>
      </rPr>
      <t>degradation</t>
    </r>
    <r>
      <rPr>
        <sz val="12"/>
        <rFont val="Arial"/>
        <family val="2"/>
      </rPr>
      <t xml:space="preserve"> testing (e.g. data trends, before/after values, etc.)</t>
    </r>
  </si>
  <si>
    <t>DIMENSIONAL RESULTS (ISIR)</t>
  </si>
  <si>
    <t>PPAP requirements apply to the following parts:</t>
  </si>
  <si>
    <r>
      <t xml:space="preserve">Important Note: </t>
    </r>
    <r>
      <rPr>
        <sz val="10"/>
        <color indexed="10"/>
        <rFont val="Arial"/>
        <family val="2"/>
      </rPr>
      <t xml:space="preserve"> </t>
    </r>
    <r>
      <rPr>
        <sz val="10"/>
        <rFont val="Arial"/>
        <family val="2"/>
      </rPr>
      <t xml:space="preserve">These sheets have not been protected, so you can add additional information if needed.  However, the information in blue is interlinked to the other spreadsheets.                                                                            
</t>
    </r>
    <r>
      <rPr>
        <b/>
        <sz val="10"/>
        <color indexed="12"/>
        <rFont val="Arial"/>
        <family val="2"/>
      </rPr>
      <t>FILL IN THE BLUE SECTIONS FOR AUTOMATIC INPUT INTO FORMS</t>
    </r>
  </si>
  <si>
    <t xml:space="preserve">PPAP INTRODUCTION </t>
  </si>
  <si>
    <t>Please complete and attach this page on the outside of each package in plain view of a fork lift/material handler/operator. Put the Packing slip pocket near the label. 
In the event parts are “Loose” shipped, a label should be placed on each part. This would apply to parts laying on pallets also. Label on a Painted Part must be wire tied or attached in a way painted surface is protected from label adhesion.</t>
  </si>
  <si>
    <t>1.) Part Submission Warant (PSW)</t>
  </si>
  <si>
    <t xml:space="preserve">Supplier Name: </t>
  </si>
  <si>
    <t xml:space="preserve">Supplier Number: </t>
  </si>
  <si>
    <t xml:space="preserve">Supplier Inspected By: </t>
  </si>
  <si>
    <t>Salt Spray</t>
  </si>
  <si>
    <t>Supplier required to provide marked up print to identify items inspected.</t>
  </si>
  <si>
    <t>TOOL / FIXTURE NUMBER:</t>
  </si>
  <si>
    <t>30 Pc. Capability Study/Ongoing Process Control                              (Individual Moving Range Chart)</t>
  </si>
  <si>
    <t>Upper Specification Limit:</t>
  </si>
  <si>
    <t>Lower Specification Limit:</t>
  </si>
  <si>
    <t>Tol: 6 Sigma Lower:</t>
  </si>
  <si>
    <t xml:space="preserve">                                IMR Bar Chart</t>
  </si>
  <si>
    <t>Avg Xbar:</t>
  </si>
  <si>
    <t>UCLx:</t>
  </si>
  <si>
    <t>LCLx:</t>
  </si>
  <si>
    <t>Std Dev.:</t>
  </si>
  <si>
    <t>Cr:</t>
  </si>
  <si>
    <t>INFO ===&gt;</t>
  </si>
  <si>
    <t>Avg Range:</t>
  </si>
  <si>
    <t xml:space="preserve">UCLr:  </t>
  </si>
  <si>
    <t>Z Upper:</t>
  </si>
  <si>
    <t>Z Lower:</t>
  </si>
  <si>
    <t>Cpk Upper:</t>
  </si>
  <si>
    <t>Cpk Lower:</t>
  </si>
  <si>
    <t xml:space="preserve">  Range Chart</t>
  </si>
  <si>
    <t>Do not delete any numbers from the "Reading" cells after they are typed in. Rather Highlight the cells, right click your mouse and click on "Clear Contents".</t>
  </si>
  <si>
    <t>Date/Time</t>
  </si>
  <si>
    <t>Reading</t>
  </si>
  <si>
    <t>DATA POINT #</t>
  </si>
  <si>
    <t>INFO</t>
  </si>
  <si>
    <t>30 Pc. Capability Study</t>
  </si>
  <si>
    <t>Ongoing Statistics</t>
  </si>
  <si>
    <t>Avg Xbar</t>
  </si>
  <si>
    <t>UCLx</t>
  </si>
  <si>
    <t>LCLx</t>
  </si>
  <si>
    <t>Std. Dev.</t>
  </si>
  <si>
    <t>Cr</t>
  </si>
  <si>
    <t>Avg Range</t>
  </si>
  <si>
    <t>UCLr</t>
  </si>
  <si>
    <t>Z Upper</t>
  </si>
  <si>
    <t>Z Lower</t>
  </si>
  <si>
    <t>Skewness</t>
  </si>
  <si>
    <t>Kurtosis</t>
  </si>
  <si>
    <t>Cpk Upper</t>
  </si>
  <si>
    <t>Cpk Lower</t>
  </si>
  <si>
    <t>Version 6.0</t>
  </si>
  <si>
    <t>Cp</t>
  </si>
  <si>
    <r>
      <t xml:space="preserve">Plant: </t>
    </r>
    <r>
      <rPr>
        <sz val="12"/>
        <rFont val="Arial"/>
        <family val="2"/>
      </rPr>
      <t xml:space="preserve"> </t>
    </r>
  </si>
  <si>
    <r>
      <t xml:space="preserve">Dept:  </t>
    </r>
    <r>
      <rPr>
        <sz val="12"/>
        <rFont val="Arial"/>
        <family val="2"/>
      </rPr>
      <t xml:space="preserve">  </t>
    </r>
  </si>
  <si>
    <r>
      <t xml:space="preserve">Operation: </t>
    </r>
    <r>
      <rPr>
        <sz val="12"/>
        <rFont val="Arial"/>
        <family val="2"/>
      </rPr>
      <t xml:space="preserve">    </t>
    </r>
  </si>
  <si>
    <r>
      <t xml:space="preserve">Part Name: </t>
    </r>
    <r>
      <rPr>
        <sz val="12"/>
        <rFont val="Arial"/>
        <family val="2"/>
      </rPr>
      <t xml:space="preserve">  </t>
    </r>
  </si>
  <si>
    <r>
      <t xml:space="preserve">Part Number: </t>
    </r>
    <r>
      <rPr>
        <sz val="12"/>
        <rFont val="Arial"/>
        <family val="2"/>
      </rPr>
      <t xml:space="preserve"> </t>
    </r>
  </si>
  <si>
    <r>
      <t xml:space="preserve">Station: </t>
    </r>
    <r>
      <rPr>
        <sz val="12"/>
        <rFont val="Arial"/>
        <family val="2"/>
      </rPr>
      <t xml:space="preserve"> </t>
    </r>
  </si>
  <si>
    <r>
      <t xml:space="preserve">Characteristic:  </t>
    </r>
    <r>
      <rPr>
        <sz val="12"/>
        <rFont val="Arial"/>
        <family val="2"/>
      </rPr>
      <t xml:space="preserve"> </t>
    </r>
  </si>
  <si>
    <r>
      <t xml:space="preserve">Sample Size: </t>
    </r>
    <r>
      <rPr>
        <sz val="12"/>
        <rFont val="Arial"/>
        <family val="2"/>
      </rPr>
      <t xml:space="preserve">  </t>
    </r>
  </si>
  <si>
    <r>
      <t>Frequency taken:</t>
    </r>
    <r>
      <rPr>
        <sz val="12"/>
        <rFont val="Arial"/>
        <family val="2"/>
      </rPr>
      <t xml:space="preserve">   </t>
    </r>
  </si>
  <si>
    <t>Supplier required to provide marked up print to identify all PRINT NOTES inspected.</t>
  </si>
  <si>
    <t>SPECIFICATION</t>
  </si>
  <si>
    <r>
      <t xml:space="preserve">PRINT NOTES 
</t>
    </r>
    <r>
      <rPr>
        <b/>
        <sz val="11"/>
        <rFont val="Arial"/>
        <family val="2"/>
      </rPr>
      <t>(MATERIAL, SURFACE FINISH, PERFORMANCE TESTS &amp; PART IDENTIFICATION)</t>
    </r>
  </si>
  <si>
    <r>
      <t xml:space="preserve">PRINT NOTES 
</t>
    </r>
    <r>
      <rPr>
        <b/>
        <sz val="12"/>
        <rFont val="Arial"/>
        <family val="2"/>
      </rPr>
      <t>(PAINT TESTING)</t>
    </r>
  </si>
  <si>
    <t>Supplier Part Number</t>
  </si>
  <si>
    <r>
      <t xml:space="preserve">PRINT NOTES 
</t>
    </r>
    <r>
      <rPr>
        <b/>
        <sz val="12"/>
        <rFont val="Arial"/>
        <family val="2"/>
      </rPr>
      <t>(WELDING)</t>
    </r>
  </si>
  <si>
    <t>WPS#</t>
  </si>
  <si>
    <t>SPECIFICATION / WELD SYMBOL</t>
  </si>
  <si>
    <t>WELD SIZE</t>
  </si>
  <si>
    <t>WELD QTY</t>
  </si>
  <si>
    <t>WELD LENGTH</t>
  </si>
  <si>
    <t>CHECK FOR CONFORMANCE</t>
  </si>
  <si>
    <t>Supplier required to provide marked up print to identify ALL Weld items.</t>
  </si>
  <si>
    <r>
      <t xml:space="preserve">PQR# 
</t>
    </r>
    <r>
      <rPr>
        <sz val="5"/>
        <rFont val="Arial"/>
        <family val="2"/>
      </rPr>
      <t>(IF NOT PRE-QUALIFIED)</t>
    </r>
  </si>
  <si>
    <t xml:space="preserve">Prime Coat:    </t>
  </si>
  <si>
    <t xml:space="preserve">Top Coat:    </t>
  </si>
  <si>
    <t xml:space="preserve">Document Painting Method / Industry Standard used to prepare these components. </t>
  </si>
  <si>
    <t>(ie method 1)</t>
  </si>
  <si>
    <t xml:space="preserve">AAR Mobility Systems  PPAP is based off of the Automotive Industry Action Group Production Part Approval Process </t>
  </si>
  <si>
    <t>PPAP packages are expected to be received by AAR Mobility Systems by the date assigned by Purchasing.  If for any reason you cannot meet this date, contact Purchasing for resolution.</t>
  </si>
  <si>
    <t>The Default PPAP is Level 2, unless otherwise required by the AAR Mobility Systems Quality Representative</t>
  </si>
  <si>
    <t xml:space="preserve">   5) Any request by AAR Mobility Systems based on part rejection history.</t>
  </si>
  <si>
    <t>There may be occasions where parts may be excluded from the PPAP PROCESS requirements. These may include parts that are manufactured to a higher standard or recognized external standard specification. Some examples of acceptable standards include ISO (International Standard Organization), SAE (Society of Automotive Engineers), and NIST (National Institute of Standards and Technology) among others. The supplier will have to provide documentation of higher standard or external standard specification. However, this will be at the discretion of the responsible AAR Mobility Systems Quality Representative.</t>
  </si>
  <si>
    <t xml:space="preserve">
AAR Mobility Systems
PPAP Part Submission Requirements.
</t>
  </si>
  <si>
    <t>Intro Sheet Entry</t>
  </si>
  <si>
    <t xml:space="preserve">
PPAP SAMPLE PARTS - LABEL</t>
  </si>
  <si>
    <t xml:space="preserve">
PROCESS/INSPECTION FLOWCHART</t>
  </si>
  <si>
    <t xml:space="preserve">
TOOLING &amp; FIXTURES - PROPERTY OF AAR Mobility Systems</t>
  </si>
  <si>
    <t xml:space="preserve">
GAGE REPEATABILITY AND REPRODUCIBILITY REPORT ATTRIBUTE METHOD</t>
  </si>
  <si>
    <t xml:space="preserve">
GAGE REPEATABILITY AND REPRODUCIBILITY REPORT
ATTRIBUTE RISK METHOD
</t>
  </si>
  <si>
    <t>2.) Dimensional Results</t>
  </si>
  <si>
    <t>N/R</t>
  </si>
  <si>
    <t>N/R= Documents are not required for development or submission</t>
  </si>
  <si>
    <t>Default Level 2 
Unless Otherwise Specified by AAR Mobility Systems</t>
  </si>
  <si>
    <t>Upon Shipping of Parts including all Applicable material info required (material certification, Certificate of Compliance, or catalog page) with PSW.</t>
  </si>
  <si>
    <t xml:space="preserve">Level 4 </t>
  </si>
  <si>
    <t>(Check items that have been submitted within this PPAP Submission)</t>
  </si>
  <si>
    <t xml:space="preserve">      5. Confirmation of conformance to all Print Notes:</t>
  </si>
  <si>
    <t>Engineering Revision Level</t>
  </si>
  <si>
    <t>Buyer</t>
  </si>
  <si>
    <t>Compliant to requirements stated in the Suppliers Standards Guide (Section D.32) referencing Hazardous Materials.</t>
  </si>
  <si>
    <t xml:space="preserve">Initial submission </t>
  </si>
  <si>
    <r>
      <t xml:space="preserve">Level 1 - Warrant only submitted to customer. </t>
    </r>
    <r>
      <rPr>
        <sz val="7"/>
        <rFont val="Arial"/>
        <family val="2"/>
      </rPr>
      <t>*Applicable material info required (material certification, Certificate of Compliance, or catalog page)</t>
    </r>
  </si>
  <si>
    <t>Level 2 - Warrant with product samples, ISIR, and Material/Performance/Surface Finish/Paint Test Results</t>
  </si>
  <si>
    <t>Declaration:</t>
  </si>
  <si>
    <t>FOR CUSTOMER USE ONLY 
(Level 4 PPAP's do not require signed PSW)</t>
  </si>
  <si>
    <t>AAR Mobility Part Number</t>
  </si>
  <si>
    <t>Production Break to AAR Mobility Systems &gt; 1 year</t>
  </si>
  <si>
    <t>I have noted on this part submission warrant any deviation from the associated design record and/or any areas of non-compliance to the Mobility Systems requirements.   If Yes, Explain _____________________________________________________________________
_______________________________________________________________________________________________________________</t>
  </si>
  <si>
    <t xml:space="preserve">Date: 08/20/20 </t>
  </si>
  <si>
    <t>Second Edition</t>
  </si>
  <si>
    <t>S
1 Piece</t>
  </si>
  <si>
    <t>S
3 Piece</t>
  </si>
  <si>
    <t>3.) Design Record (Bubbled Drawing)</t>
  </si>
  <si>
    <r>
      <t xml:space="preserve">4.) Print Notes: </t>
    </r>
    <r>
      <rPr>
        <b/>
        <sz val="8"/>
        <rFont val="Arial"/>
        <family val="2"/>
      </rPr>
      <t>(a. Raw Material Certifications / b. Performance Test Report / c. Surface Finish / d. Labeling / e. Paint Process &amp; Test Results / f. Welding Documentation such as WPS/PQRs/Welder Certs)</t>
    </r>
  </si>
  <si>
    <t>5.) Appearance Approval Report (AAR) - if applicable</t>
  </si>
  <si>
    <t>9.) Process Control Plan</t>
  </si>
  <si>
    <t>10.) Tooling Photo Documentation - if applicable</t>
  </si>
  <si>
    <r>
      <t xml:space="preserve">11.) Initial Process Capability </t>
    </r>
    <r>
      <rPr>
        <b/>
        <i/>
        <sz val="10"/>
        <rFont val="Arial"/>
        <family val="2"/>
      </rPr>
      <t>- for major / critical characteristics - if applicable</t>
    </r>
  </si>
  <si>
    <r>
      <t xml:space="preserve">12.) Measurement System Analysis (MSA)  </t>
    </r>
    <r>
      <rPr>
        <b/>
        <i/>
        <sz val="10"/>
        <rFont val="Arial"/>
        <family val="2"/>
      </rPr>
      <t>- for major / critical characteristics - if applicable</t>
    </r>
  </si>
  <si>
    <t xml:space="preserve">13.) Qualified/Certified Laboratory Documentation </t>
  </si>
  <si>
    <t>14.) Checking Aids (Fixture, gage, template, etc) - Specific to the part being submitted</t>
  </si>
  <si>
    <t>15.) Photo Documentation (Master Sample of PPAP parts)</t>
  </si>
  <si>
    <t>16.) Engineering Change Documents (ECN) 
All Design Changes Require AAR Engineering Approval Before Implementation</t>
  </si>
  <si>
    <r>
      <t xml:space="preserve">S = Supplier Must Send Completed and Signed PPAP Workbook Electronically to AAR Mobility Systems.
The file name must be formatted as follows: 
</t>
    </r>
    <r>
      <rPr>
        <b/>
        <sz val="10"/>
        <color rgb="FFFF0000"/>
        <rFont val="Arial"/>
        <family val="2"/>
      </rPr>
      <t>SupplierName_Date_AAR P/N_AAR PO #</t>
    </r>
    <r>
      <rPr>
        <b/>
        <sz val="10"/>
        <rFont val="Arial"/>
        <family val="2"/>
      </rPr>
      <t xml:space="preserve"> </t>
    </r>
    <r>
      <rPr>
        <b/>
        <sz val="10"/>
        <color rgb="FF00B050"/>
        <rFont val="Arial"/>
        <family val="2"/>
      </rPr>
      <t>(Example AAR_080120_12005072_867509)</t>
    </r>
  </si>
  <si>
    <t>EMAIL PPAP Workbook to: CadillacSupplier.Certs@aarcorp.com</t>
  </si>
  <si>
    <r>
      <t xml:space="preserve">17.) PPAP Samples </t>
    </r>
    <r>
      <rPr>
        <b/>
        <i/>
        <sz val="10"/>
        <rFont val="Arial"/>
        <family val="2"/>
      </rPr>
      <t>- first production order / upon request prior to ongoing production order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</si>
</sst>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numFmt numFmtId="165" formatCode="0.000"/>
    <numFmt numFmtId="166" formatCode="0.0000"/>
    <numFmt numFmtId="167" formatCode="m/d/yy"/>
    <numFmt numFmtId="168" formatCode="0.0"/>
    <numFmt numFmtId="169" formatCode="0.0%"/>
    <numFmt numFmtId="170" formatCode="0.00000"/>
    <numFmt numFmtId="171" formatCode="0.0000%"/>
  </numFmts>
  <fonts count="112">
    <font>
      <sz val="10"/>
      <name val="Arial"/>
    </font>
    <font>
      <b/>
      <sz val="10"/>
      <name val="Arial"/>
      <family val="2"/>
    </font>
    <font>
      <i/>
      <sz val="10"/>
      <name val="Arial"/>
      <family val="2"/>
    </font>
    <font>
      <b/>
      <i/>
      <sz val="10"/>
      <name val="Arial"/>
      <family val="2"/>
    </font>
    <font>
      <sz val="10"/>
      <name val="Arial"/>
      <family val="2"/>
    </font>
    <font>
      <sz val="8"/>
      <name val="Arial"/>
      <family val="2"/>
    </font>
    <font>
      <b/>
      <sz val="8"/>
      <name val="Arial"/>
      <family val="2"/>
    </font>
    <font>
      <b/>
      <sz val="18"/>
      <name val="Arial"/>
      <family val="2"/>
    </font>
    <font>
      <sz val="12"/>
      <name val="Arial"/>
      <family val="2"/>
    </font>
    <font>
      <b/>
      <sz val="14"/>
      <name val="Arial"/>
      <family val="2"/>
    </font>
    <font>
      <sz val="10"/>
      <name val="Arial"/>
      <family val="2"/>
    </font>
    <font>
      <b/>
      <sz val="12"/>
      <name val="Arial"/>
      <family val="2"/>
    </font>
    <font>
      <sz val="10"/>
      <color indexed="12"/>
      <name val="Arial"/>
      <family val="2"/>
    </font>
    <font>
      <sz val="10"/>
      <color indexed="10"/>
      <name val="Arial"/>
      <family val="2"/>
    </font>
    <font>
      <sz val="10"/>
      <color indexed="8"/>
      <name val="Arial"/>
      <family val="2"/>
    </font>
    <font>
      <b/>
      <sz val="10"/>
      <name val="Arial"/>
      <family val="2"/>
    </font>
    <font>
      <b/>
      <sz val="10"/>
      <color indexed="12"/>
      <name val="Arial"/>
      <family val="2"/>
    </font>
    <font>
      <b/>
      <sz val="10"/>
      <color indexed="10"/>
      <name val="Arial"/>
      <family val="2"/>
    </font>
    <font>
      <u/>
      <sz val="7.5"/>
      <color indexed="12"/>
      <name val="Arial"/>
      <family val="2"/>
    </font>
    <font>
      <sz val="8"/>
      <color indexed="8"/>
      <name val="Arial"/>
      <family val="2"/>
    </font>
    <font>
      <sz val="7"/>
      <name val="Arial"/>
      <family val="2"/>
    </font>
    <font>
      <sz val="7"/>
      <color indexed="8"/>
      <name val="Arial"/>
      <family val="2"/>
    </font>
    <font>
      <u/>
      <sz val="8"/>
      <name val="Arial"/>
      <family val="2"/>
    </font>
    <font>
      <sz val="8"/>
      <name val="GD&amp;T"/>
      <charset val="2"/>
    </font>
    <font>
      <sz val="8"/>
      <name val="FreeSans"/>
      <charset val="2"/>
    </font>
    <font>
      <u/>
      <sz val="8"/>
      <name val="Arial"/>
      <family val="2"/>
    </font>
    <font>
      <sz val="8"/>
      <name val="Arial"/>
      <family val="2"/>
    </font>
    <font>
      <sz val="12"/>
      <name val="Times New Roman"/>
      <family val="1"/>
    </font>
    <font>
      <b/>
      <sz val="22"/>
      <name val="Arial"/>
      <family val="2"/>
    </font>
    <font>
      <b/>
      <i/>
      <sz val="18"/>
      <name val="Arial"/>
      <family val="2"/>
    </font>
    <font>
      <i/>
      <sz val="10"/>
      <name val="Arial"/>
      <family val="2"/>
    </font>
    <font>
      <b/>
      <sz val="11"/>
      <name val="Arial"/>
      <family val="2"/>
    </font>
    <font>
      <b/>
      <sz val="22"/>
      <name val="Arial Black"/>
      <family val="2"/>
    </font>
    <font>
      <b/>
      <sz val="16"/>
      <name val="Arial"/>
      <family val="2"/>
    </font>
    <font>
      <sz val="10"/>
      <color indexed="10"/>
      <name val="Arial"/>
      <family val="2"/>
    </font>
    <font>
      <sz val="10"/>
      <name val="Monotype Corsiva"/>
      <family val="4"/>
    </font>
    <font>
      <sz val="9"/>
      <name val="Arial"/>
      <family val="2"/>
    </font>
    <font>
      <b/>
      <sz val="14"/>
      <name val="Arial"/>
      <family val="2"/>
    </font>
    <font>
      <sz val="12"/>
      <name val="Arial"/>
      <family val="2"/>
    </font>
    <font>
      <sz val="10"/>
      <color indexed="23"/>
      <name val="Arial"/>
      <family val="2"/>
    </font>
    <font>
      <sz val="12"/>
      <color indexed="23"/>
      <name val="Arial"/>
      <family val="2"/>
    </font>
    <font>
      <b/>
      <i/>
      <sz val="10"/>
      <name val="Arial"/>
      <family val="2"/>
    </font>
    <font>
      <sz val="10"/>
      <color indexed="48"/>
      <name val="Arial"/>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sz val="10"/>
      <name val="Arial"/>
      <family val="2"/>
    </font>
    <font>
      <b/>
      <u/>
      <sz val="10"/>
      <name val="Arial"/>
      <family val="2"/>
    </font>
    <font>
      <sz val="6"/>
      <name val="Small Fonts"/>
      <family val="2"/>
    </font>
    <font>
      <b/>
      <sz val="12"/>
      <name val="Arial"/>
      <family val="2"/>
    </font>
    <font>
      <vertAlign val="subscript"/>
      <sz val="10"/>
      <name val="Arial"/>
      <family val="2"/>
    </font>
    <font>
      <sz val="8"/>
      <color indexed="12"/>
      <name val="Arial"/>
      <family val="2"/>
    </font>
    <font>
      <sz val="16"/>
      <name val="Arial"/>
      <family val="2"/>
    </font>
    <font>
      <sz val="12"/>
      <name val="Statistical Symbols"/>
    </font>
    <font>
      <vertAlign val="superscript"/>
      <sz val="10"/>
      <name val="Arial"/>
      <family val="2"/>
    </font>
    <font>
      <sz val="10"/>
      <color indexed="12"/>
      <name val="Arial"/>
      <family val="2"/>
    </font>
    <font>
      <b/>
      <sz val="6"/>
      <name val="Small Fonts"/>
      <family val="2"/>
    </font>
    <font>
      <b/>
      <vertAlign val="subscript"/>
      <sz val="10"/>
      <name val="Arial"/>
      <family val="2"/>
    </font>
    <font>
      <sz val="10"/>
      <name val="Statistical Symbols"/>
    </font>
    <font>
      <vertAlign val="subscript"/>
      <sz val="8"/>
      <name val="Arial"/>
      <family val="2"/>
    </font>
    <font>
      <i/>
      <sz val="14"/>
      <name val="Arial"/>
      <family val="2"/>
    </font>
    <font>
      <sz val="10"/>
      <name val="Symbol"/>
      <family val="1"/>
      <charset val="2"/>
    </font>
    <font>
      <b/>
      <sz val="10"/>
      <name val="Symbol"/>
      <family val="1"/>
      <charset val="2"/>
    </font>
    <font>
      <sz val="9"/>
      <name val="Arial"/>
      <family val="2"/>
    </font>
    <font>
      <sz val="8"/>
      <name val="Statistical Symbols"/>
    </font>
    <font>
      <sz val="8"/>
      <color indexed="81"/>
      <name val="Tahoma"/>
      <family val="2"/>
    </font>
    <font>
      <b/>
      <u/>
      <sz val="8"/>
      <name val="Arial"/>
      <family val="2"/>
    </font>
    <font>
      <sz val="8"/>
      <color indexed="10"/>
      <name val="Arial"/>
      <family val="2"/>
    </font>
    <font>
      <sz val="22"/>
      <name val="Times New Roman"/>
      <family val="1"/>
    </font>
    <font>
      <b/>
      <sz val="20"/>
      <name val="Times New Roman"/>
      <family val="1"/>
    </font>
    <font>
      <b/>
      <sz val="36"/>
      <name val="Times New Roman"/>
      <family val="1"/>
    </font>
    <font>
      <b/>
      <u/>
      <sz val="12"/>
      <name val="Arial"/>
      <family val="2"/>
    </font>
    <font>
      <sz val="16"/>
      <name val="Times New Roman"/>
      <family val="1"/>
    </font>
    <font>
      <sz val="10"/>
      <name val="Univers"/>
      <family val="2"/>
    </font>
    <font>
      <sz val="8"/>
      <color indexed="63"/>
      <name val="Verdana"/>
      <family val="2"/>
    </font>
    <font>
      <b/>
      <sz val="9"/>
      <color indexed="9"/>
      <name val="Arial"/>
      <family val="2"/>
    </font>
    <font>
      <sz val="9"/>
      <color indexed="53"/>
      <name val="Arial"/>
      <family val="2"/>
    </font>
    <font>
      <b/>
      <sz val="12"/>
      <color indexed="12"/>
      <name val="Arial"/>
      <family val="2"/>
    </font>
    <font>
      <sz val="12"/>
      <color indexed="10"/>
      <name val="Arial"/>
      <family val="2"/>
    </font>
    <font>
      <sz val="6"/>
      <name val="Arial"/>
      <family val="2"/>
    </font>
    <font>
      <b/>
      <sz val="11"/>
      <color indexed="10"/>
      <name val="Albertus MT"/>
      <family val="1"/>
    </font>
    <font>
      <b/>
      <sz val="11"/>
      <color indexed="48"/>
      <name val="Albertus MT"/>
      <family val="1"/>
    </font>
    <font>
      <b/>
      <sz val="11"/>
      <color indexed="18"/>
      <name val="Arial"/>
      <family val="2"/>
    </font>
    <font>
      <b/>
      <sz val="10"/>
      <color indexed="48"/>
      <name val="Arial"/>
      <family val="2"/>
    </font>
    <font>
      <b/>
      <sz val="10"/>
      <color indexed="18"/>
      <name val="Arial"/>
      <family val="2"/>
    </font>
    <font>
      <sz val="10"/>
      <color indexed="81"/>
      <name val="Tahoma"/>
      <family val="2"/>
    </font>
    <font>
      <sz val="11"/>
      <color indexed="81"/>
      <name val="Tahoma"/>
      <family val="2"/>
    </font>
    <font>
      <b/>
      <sz val="9"/>
      <name val="Arial"/>
      <family val="2"/>
    </font>
    <font>
      <sz val="10"/>
      <color indexed="48"/>
      <name val="Arial"/>
      <family val="2"/>
    </font>
    <font>
      <b/>
      <sz val="10"/>
      <color indexed="48"/>
      <name val="Arial"/>
      <family val="2"/>
    </font>
    <font>
      <sz val="5"/>
      <name val="Arial"/>
      <family val="2"/>
    </font>
    <font>
      <sz val="8"/>
      <color rgb="FF000000"/>
      <name val="Tahoma"/>
      <family val="2"/>
    </font>
    <font>
      <b/>
      <sz val="10"/>
      <color rgb="FF000000"/>
      <name val="Arial"/>
      <family val="2"/>
    </font>
    <font>
      <b/>
      <sz val="16"/>
      <color rgb="FF000000"/>
      <name val="Arial"/>
      <family val="2"/>
    </font>
    <font>
      <b/>
      <sz val="10"/>
      <color rgb="FF00B050"/>
      <name val="Arial"/>
      <family val="2"/>
    </font>
    <font>
      <b/>
      <u/>
      <sz val="7.5"/>
      <color indexed="12"/>
      <name val="Arial"/>
      <family val="2"/>
    </font>
    <font>
      <b/>
      <sz val="10"/>
      <color rgb="FFFF0000"/>
      <name val="Arial"/>
      <family val="2"/>
    </font>
    <font>
      <sz val="7.5"/>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21"/>
        <bgColor indexed="64"/>
      </patternFill>
    </fill>
    <fill>
      <patternFill patternType="solid">
        <fgColor indexed="17"/>
        <bgColor indexed="64"/>
      </patternFill>
    </fill>
    <fill>
      <patternFill patternType="solid">
        <fgColor indexed="23"/>
        <bgColor indexed="64"/>
      </patternFill>
    </fill>
    <fill>
      <patternFill patternType="solid">
        <fgColor indexed="48"/>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top style="thin">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s>
  <cellStyleXfs count="44">
    <xf numFmtId="0" fontId="0" fillId="0" borderId="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6" fillId="15" borderId="0" applyNumberFormat="0" applyBorder="0" applyAlignment="0" applyProtection="0"/>
    <xf numFmtId="0" fontId="47" fillId="16" borderId="1" applyNumberFormat="0" applyAlignment="0" applyProtection="0"/>
    <xf numFmtId="0" fontId="48" fillId="17" borderId="2" applyNumberFormat="0" applyAlignment="0" applyProtection="0"/>
    <xf numFmtId="0" fontId="49" fillId="0" borderId="0" applyNumberFormat="0" applyFill="0" applyBorder="0" applyAlignment="0" applyProtection="0"/>
    <xf numFmtId="0" fontId="50" fillId="6"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8" fillId="0" borderId="0" applyNumberFormat="0" applyFill="0" applyBorder="0" applyAlignment="0" applyProtection="0">
      <alignment vertical="top"/>
      <protection locked="0"/>
    </xf>
    <xf numFmtId="0" fontId="54" fillId="7" borderId="1" applyNumberFormat="0" applyAlignment="0" applyProtection="0"/>
    <xf numFmtId="0" fontId="55" fillId="0" borderId="6" applyNumberFormat="0" applyFill="0" applyAlignment="0" applyProtection="0"/>
    <xf numFmtId="0" fontId="56" fillId="7" borderId="0" applyNumberFormat="0" applyBorder="0" applyAlignment="0" applyProtection="0"/>
    <xf numFmtId="0" fontId="4" fillId="4" borderId="7" applyNumberFormat="0" applyFont="0" applyAlignment="0" applyProtection="0"/>
    <xf numFmtId="0" fontId="57" fillId="16" borderId="8" applyNumberFormat="0" applyAlignment="0" applyProtection="0"/>
    <xf numFmtId="0" fontId="58" fillId="0" borderId="0" applyNumberFormat="0" applyFill="0" applyBorder="0" applyAlignment="0" applyProtection="0"/>
    <xf numFmtId="0" fontId="59" fillId="0" borderId="9" applyNumberFormat="0" applyFill="0" applyAlignment="0" applyProtection="0"/>
    <xf numFmtId="0" fontId="55" fillId="0" borderId="0" applyNumberFormat="0" applyFill="0" applyBorder="0" applyAlignment="0" applyProtection="0"/>
    <xf numFmtId="0" fontId="4" fillId="0" borderId="0"/>
  </cellStyleXfs>
  <cellXfs count="1108">
    <xf numFmtId="0" fontId="0" fillId="0" borderId="0" xfId="0"/>
    <xf numFmtId="0" fontId="0" fillId="18" borderId="0" xfId="0" applyFill="1"/>
    <xf numFmtId="0" fontId="0" fillId="18" borderId="12" xfId="0" applyFill="1" applyBorder="1"/>
    <xf numFmtId="0" fontId="0" fillId="18" borderId="0" xfId="0" applyFill="1" applyBorder="1" applyAlignment="1">
      <alignment horizontal="centerContinuous"/>
    </xf>
    <xf numFmtId="0" fontId="0" fillId="18" borderId="0" xfId="0" applyFill="1" applyBorder="1"/>
    <xf numFmtId="0" fontId="0" fillId="18" borderId="0" xfId="0" applyFill="1" applyBorder="1" applyAlignment="1">
      <alignment horizontal="center"/>
    </xf>
    <xf numFmtId="0" fontId="0" fillId="18" borderId="0" xfId="0" applyFill="1" applyAlignment="1">
      <alignment horizontal="center"/>
    </xf>
    <xf numFmtId="0" fontId="20" fillId="18" borderId="0" xfId="0" applyFont="1" applyFill="1" applyBorder="1" applyAlignment="1"/>
    <xf numFmtId="0" fontId="20" fillId="18" borderId="0" xfId="0" applyFont="1" applyFill="1"/>
    <xf numFmtId="15" fontId="21" fillId="18" borderId="0" xfId="0" applyNumberFormat="1" applyFont="1" applyFill="1"/>
    <xf numFmtId="0" fontId="10" fillId="18" borderId="0" xfId="0" applyFont="1" applyFill="1"/>
    <xf numFmtId="0" fontId="0" fillId="18" borderId="0" xfId="0" applyFill="1" applyAlignment="1">
      <alignment horizontal="right"/>
    </xf>
    <xf numFmtId="0" fontId="5" fillId="18" borderId="0" xfId="0" applyFont="1" applyFill="1" applyBorder="1"/>
    <xf numFmtId="0" fontId="0" fillId="18" borderId="0" xfId="0" applyFill="1" applyAlignment="1">
      <alignment wrapText="1"/>
    </xf>
    <xf numFmtId="0" fontId="5" fillId="18" borderId="13" xfId="0" applyFont="1" applyFill="1" applyBorder="1" applyAlignment="1" applyProtection="1">
      <alignment horizontal="center"/>
      <protection locked="0"/>
    </xf>
    <xf numFmtId="167" fontId="5" fillId="18" borderId="13" xfId="0" applyNumberFormat="1" applyFont="1" applyFill="1" applyBorder="1" applyAlignment="1" applyProtection="1">
      <alignment horizontal="center"/>
      <protection locked="0"/>
    </xf>
    <xf numFmtId="0" fontId="5" fillId="18" borderId="14" xfId="0" applyFont="1" applyFill="1" applyBorder="1" applyProtection="1">
      <protection locked="0"/>
    </xf>
    <xf numFmtId="2" fontId="5" fillId="18" borderId="15" xfId="0" applyNumberFormat="1" applyFont="1" applyFill="1" applyBorder="1" applyAlignment="1" applyProtection="1">
      <alignment horizontal="center"/>
      <protection locked="0"/>
    </xf>
    <xf numFmtId="2" fontId="5" fillId="18" borderId="16" xfId="0" applyNumberFormat="1" applyFont="1" applyFill="1" applyBorder="1" applyAlignment="1" applyProtection="1">
      <alignment horizontal="center"/>
      <protection locked="0"/>
    </xf>
    <xf numFmtId="0" fontId="5" fillId="18" borderId="14" xfId="0" applyFont="1" applyFill="1" applyBorder="1" applyAlignment="1" applyProtection="1">
      <alignment horizontal="center"/>
      <protection locked="0"/>
    </xf>
    <xf numFmtId="0" fontId="8" fillId="18" borderId="0" xfId="0" applyFont="1" applyFill="1"/>
    <xf numFmtId="0" fontId="5" fillId="18" borderId="15" xfId="0" applyFont="1" applyFill="1" applyBorder="1" applyAlignment="1" applyProtection="1">
      <alignment horizontal="center"/>
      <protection locked="0"/>
    </xf>
    <xf numFmtId="167" fontId="24" fillId="18" borderId="16" xfId="0" applyNumberFormat="1" applyFont="1" applyFill="1" applyBorder="1" applyProtection="1">
      <protection locked="0"/>
    </xf>
    <xf numFmtId="0" fontId="5" fillId="18" borderId="15" xfId="0" applyFont="1" applyFill="1" applyBorder="1" applyProtection="1">
      <protection locked="0"/>
    </xf>
    <xf numFmtId="167" fontId="5" fillId="18" borderId="13" xfId="0" applyNumberFormat="1" applyFont="1" applyFill="1" applyBorder="1" applyAlignment="1" applyProtection="1">
      <alignment horizontal="left"/>
      <protection locked="0"/>
    </xf>
    <xf numFmtId="167" fontId="5" fillId="18" borderId="13" xfId="0" applyNumberFormat="1" applyFont="1" applyFill="1" applyBorder="1" applyProtection="1">
      <protection locked="0"/>
    </xf>
    <xf numFmtId="15" fontId="20" fillId="18" borderId="0" xfId="0" applyNumberFormat="1" applyFont="1" applyFill="1"/>
    <xf numFmtId="0" fontId="20" fillId="18" borderId="0" xfId="0" applyFont="1" applyFill="1" applyBorder="1" applyAlignment="1">
      <alignment horizontal="right"/>
    </xf>
    <xf numFmtId="15" fontId="20" fillId="18" borderId="0" xfId="0" applyNumberFormat="1" applyFont="1" applyFill="1" applyBorder="1" applyAlignment="1"/>
    <xf numFmtId="0" fontId="8" fillId="18" borderId="0" xfId="0" applyFont="1" applyFill="1" applyBorder="1" applyAlignment="1" applyProtection="1">
      <alignment horizontal="left"/>
      <protection locked="0"/>
    </xf>
    <xf numFmtId="0" fontId="3" fillId="18" borderId="0" xfId="0" applyFont="1" applyFill="1" applyAlignment="1">
      <alignment horizontal="center"/>
    </xf>
    <xf numFmtId="0" fontId="0" fillId="18" borderId="0" xfId="0" applyFill="1" applyBorder="1" applyProtection="1">
      <protection locked="0"/>
    </xf>
    <xf numFmtId="0" fontId="0" fillId="18" borderId="17" xfId="0" applyFill="1" applyBorder="1"/>
    <xf numFmtId="0" fontId="0" fillId="18" borderId="18" xfId="0" applyFill="1" applyBorder="1"/>
    <xf numFmtId="0" fontId="15" fillId="18" borderId="0" xfId="0" applyFont="1" applyFill="1"/>
    <xf numFmtId="0" fontId="5" fillId="18" borderId="19" xfId="0" applyFont="1" applyFill="1" applyBorder="1" applyAlignment="1">
      <alignment wrapText="1"/>
    </xf>
    <xf numFmtId="0" fontId="5" fillId="18" borderId="20" xfId="0" applyFont="1" applyFill="1" applyBorder="1" applyAlignment="1" applyProtection="1">
      <alignment horizontal="center"/>
      <protection locked="0"/>
    </xf>
    <xf numFmtId="0" fontId="5" fillId="18" borderId="21" xfId="0" applyFont="1" applyFill="1" applyBorder="1" applyAlignment="1" applyProtection="1">
      <alignment horizontal="center"/>
      <protection locked="0"/>
    </xf>
    <xf numFmtId="0" fontId="5" fillId="18" borderId="22" xfId="0" applyFont="1" applyFill="1" applyBorder="1" applyAlignment="1" applyProtection="1">
      <alignment horizontal="center"/>
      <protection locked="0"/>
    </xf>
    <xf numFmtId="0" fontId="5" fillId="18" borderId="23" xfId="0" applyFont="1" applyFill="1" applyBorder="1" applyAlignment="1" applyProtection="1">
      <alignment horizontal="center"/>
      <protection locked="0"/>
    </xf>
    <xf numFmtId="167" fontId="5" fillId="18" borderId="24" xfId="0" applyNumberFormat="1" applyFont="1" applyFill="1" applyBorder="1" applyProtection="1">
      <protection locked="0"/>
    </xf>
    <xf numFmtId="0" fontId="5" fillId="18" borderId="25" xfId="0" applyFont="1" applyFill="1" applyBorder="1" applyProtection="1">
      <protection locked="0"/>
    </xf>
    <xf numFmtId="2" fontId="5" fillId="18" borderId="25" xfId="0" applyNumberFormat="1" applyFont="1" applyFill="1" applyBorder="1" applyAlignment="1" applyProtection="1">
      <protection locked="0"/>
    </xf>
    <xf numFmtId="2" fontId="5" fillId="18" borderId="26" xfId="0" applyNumberFormat="1" applyFont="1" applyFill="1" applyBorder="1" applyAlignment="1" applyProtection="1">
      <protection locked="0"/>
    </xf>
    <xf numFmtId="0" fontId="5" fillId="18" borderId="25" xfId="0" applyFont="1" applyFill="1" applyBorder="1" applyAlignment="1" applyProtection="1">
      <alignment horizontal="center"/>
      <protection locked="0"/>
    </xf>
    <xf numFmtId="0" fontId="5" fillId="18" borderId="27" xfId="0" applyFont="1" applyFill="1" applyBorder="1" applyAlignment="1" applyProtection="1">
      <alignment horizontal="center"/>
      <protection locked="0"/>
    </xf>
    <xf numFmtId="0" fontId="5" fillId="18" borderId="0" xfId="0" applyFont="1" applyFill="1" applyBorder="1" applyAlignment="1">
      <alignment horizontal="center"/>
    </xf>
    <xf numFmtId="0" fontId="0" fillId="18" borderId="0" xfId="0" applyFill="1" applyBorder="1" applyAlignment="1">
      <alignment horizontal="left"/>
    </xf>
    <xf numFmtId="0" fontId="0" fillId="18" borderId="0" xfId="0" applyFill="1" applyBorder="1" applyAlignment="1"/>
    <xf numFmtId="0" fontId="5" fillId="18" borderId="28" xfId="0" quotePrefix="1" applyFont="1" applyFill="1" applyBorder="1" applyAlignment="1">
      <alignment horizontal="left"/>
    </xf>
    <xf numFmtId="0" fontId="28" fillId="18" borderId="0" xfId="0" applyFont="1" applyFill="1" applyBorder="1" applyAlignment="1">
      <alignment horizontal="left"/>
    </xf>
    <xf numFmtId="0" fontId="15" fillId="18" borderId="0" xfId="0" applyFont="1" applyFill="1" applyBorder="1" applyAlignment="1">
      <alignment horizontal="left"/>
    </xf>
    <xf numFmtId="0" fontId="29" fillId="18" borderId="0" xfId="0" applyFont="1" applyFill="1" applyBorder="1" applyAlignment="1">
      <alignment horizontal="left"/>
    </xf>
    <xf numFmtId="0" fontId="28" fillId="18" borderId="0" xfId="0" applyFont="1" applyFill="1" applyBorder="1" applyAlignment="1"/>
    <xf numFmtId="0" fontId="0" fillId="18" borderId="12" xfId="0" applyFill="1" applyBorder="1" applyProtection="1">
      <protection locked="0"/>
    </xf>
    <xf numFmtId="0" fontId="0" fillId="18" borderId="29" xfId="0" applyFill="1" applyBorder="1" applyAlignment="1" applyProtection="1">
      <alignment wrapText="1"/>
      <protection locked="0"/>
    </xf>
    <xf numFmtId="0" fontId="0" fillId="18" borderId="29" xfId="0" applyFill="1" applyBorder="1" applyProtection="1">
      <protection locked="0"/>
    </xf>
    <xf numFmtId="0" fontId="17" fillId="18" borderId="12" xfId="0" applyFont="1" applyFill="1" applyBorder="1" applyAlignment="1" applyProtection="1">
      <alignment horizontal="left" vertical="center" wrapText="1"/>
      <protection locked="0"/>
    </xf>
    <xf numFmtId="0" fontId="0" fillId="18" borderId="0" xfId="0" applyFill="1" applyBorder="1" applyAlignment="1" applyProtection="1">
      <alignment horizontal="left" vertical="center" wrapText="1"/>
      <protection locked="0"/>
    </xf>
    <xf numFmtId="0" fontId="0" fillId="18" borderId="29" xfId="0" applyFill="1" applyBorder="1" applyAlignment="1" applyProtection="1">
      <alignment horizontal="left" vertical="center" wrapText="1"/>
      <protection locked="0"/>
    </xf>
    <xf numFmtId="0" fontId="0" fillId="18" borderId="0" xfId="0" applyFill="1" applyBorder="1" applyAlignment="1" applyProtection="1">
      <alignment horizontal="left"/>
      <protection locked="0"/>
    </xf>
    <xf numFmtId="0" fontId="0" fillId="18" borderId="0" xfId="0" applyFill="1" applyBorder="1" applyAlignment="1" applyProtection="1">
      <alignment horizontal="center"/>
      <protection locked="0"/>
    </xf>
    <xf numFmtId="0" fontId="12" fillId="18" borderId="0" xfId="0" applyFont="1" applyFill="1" applyBorder="1" applyAlignment="1" applyProtection="1">
      <alignment horizontal="center"/>
      <protection locked="0"/>
    </xf>
    <xf numFmtId="17" fontId="0" fillId="18" borderId="15" xfId="0" applyNumberFormat="1" applyFill="1" applyBorder="1" applyAlignment="1" applyProtection="1">
      <alignment horizontal="center"/>
      <protection locked="0"/>
    </xf>
    <xf numFmtId="17" fontId="0" fillId="18" borderId="22" xfId="0" applyNumberFormat="1" applyFill="1" applyBorder="1" applyAlignment="1" applyProtection="1">
      <alignment horizontal="center"/>
      <protection locked="0"/>
    </xf>
    <xf numFmtId="0" fontId="0" fillId="18" borderId="25" xfId="0" applyFill="1" applyBorder="1" applyAlignment="1" applyProtection="1">
      <alignment horizontal="center"/>
      <protection locked="0"/>
    </xf>
    <xf numFmtId="17" fontId="0" fillId="18" borderId="27" xfId="0" applyNumberFormat="1" applyFill="1" applyBorder="1" applyAlignment="1" applyProtection="1">
      <alignment horizontal="center"/>
      <protection locked="0"/>
    </xf>
    <xf numFmtId="0" fontId="0" fillId="18" borderId="0" xfId="0" applyFill="1" applyBorder="1" applyAlignment="1" applyProtection="1">
      <alignment wrapText="1"/>
      <protection locked="0"/>
    </xf>
    <xf numFmtId="0" fontId="0" fillId="18" borderId="12" xfId="0" applyFill="1" applyBorder="1" applyAlignment="1" applyProtection="1">
      <alignment horizontal="left" vertical="top" wrapText="1"/>
      <protection locked="0"/>
    </xf>
    <xf numFmtId="0" fontId="0" fillId="18" borderId="0" xfId="0" applyFill="1" applyBorder="1" applyAlignment="1" applyProtection="1">
      <alignment horizontal="left" vertical="top" wrapText="1"/>
      <protection locked="0"/>
    </xf>
    <xf numFmtId="0" fontId="0" fillId="18" borderId="29" xfId="0" applyFill="1" applyBorder="1" applyAlignment="1" applyProtection="1">
      <alignment horizontal="left" vertical="top" wrapText="1"/>
      <protection locked="0"/>
    </xf>
    <xf numFmtId="0" fontId="0" fillId="18" borderId="12" xfId="0" quotePrefix="1" applyFill="1" applyBorder="1" applyAlignment="1" applyProtection="1">
      <alignment horizontal="left" wrapText="1"/>
      <protection locked="0"/>
    </xf>
    <xf numFmtId="0" fontId="0" fillId="18" borderId="0" xfId="0" applyFill="1" applyAlignment="1"/>
    <xf numFmtId="0" fontId="5" fillId="18" borderId="0" xfId="0" applyFont="1" applyFill="1" applyBorder="1" applyAlignment="1">
      <alignment horizontal="left" vertical="top"/>
    </xf>
    <xf numFmtId="0" fontId="5" fillId="18" borderId="25" xfId="0" quotePrefix="1" applyFont="1" applyFill="1" applyBorder="1" applyAlignment="1">
      <alignment horizontal="left"/>
    </xf>
    <xf numFmtId="0" fontId="5" fillId="18" borderId="0" xfId="0" quotePrefix="1" applyFont="1" applyFill="1" applyBorder="1" applyAlignment="1">
      <alignment horizontal="left"/>
    </xf>
    <xf numFmtId="0" fontId="5" fillId="18" borderId="30" xfId="0" quotePrefix="1" applyFont="1" applyFill="1" applyBorder="1" applyAlignment="1">
      <alignment horizontal="left"/>
    </xf>
    <xf numFmtId="0" fontId="0" fillId="18" borderId="31" xfId="0" applyFill="1" applyBorder="1"/>
    <xf numFmtId="0" fontId="0" fillId="18" borderId="23" xfId="0" applyFill="1" applyBorder="1" applyAlignment="1">
      <alignment horizontal="centerContinuous"/>
    </xf>
    <xf numFmtId="0" fontId="5" fillId="18" borderId="32" xfId="0" quotePrefix="1" applyFont="1" applyFill="1" applyBorder="1" applyAlignment="1">
      <alignment horizontal="left"/>
    </xf>
    <xf numFmtId="2" fontId="5" fillId="18" borderId="14" xfId="0" applyNumberFormat="1" applyFont="1" applyFill="1" applyBorder="1" applyAlignment="1" applyProtection="1">
      <alignment horizontal="center"/>
      <protection locked="0"/>
    </xf>
    <xf numFmtId="2" fontId="5" fillId="18" borderId="13" xfId="0" applyNumberFormat="1" applyFont="1" applyFill="1" applyBorder="1" applyAlignment="1" applyProtection="1">
      <alignment horizontal="center"/>
      <protection locked="0"/>
    </xf>
    <xf numFmtId="0" fontId="12" fillId="18" borderId="0" xfId="0" applyFont="1" applyFill="1" applyBorder="1" applyAlignment="1">
      <alignment horizontal="center"/>
    </xf>
    <xf numFmtId="0" fontId="12" fillId="18" borderId="0" xfId="0" applyFont="1" applyFill="1" applyBorder="1" applyAlignment="1">
      <alignment horizontal="left"/>
    </xf>
    <xf numFmtId="0" fontId="15" fillId="0" borderId="14" xfId="0" applyFont="1" applyBorder="1" applyAlignment="1">
      <alignment horizontal="right"/>
    </xf>
    <xf numFmtId="0" fontId="15" fillId="0" borderId="15" xfId="0" applyFont="1" applyBorder="1" applyAlignment="1">
      <alignment horizontal="right"/>
    </xf>
    <xf numFmtId="0" fontId="0" fillId="0" borderId="15"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34" fillId="0" borderId="34" xfId="0" applyFont="1" applyBorder="1" applyAlignment="1">
      <alignment horizontal="center"/>
    </xf>
    <xf numFmtId="0" fontId="37" fillId="19" borderId="15" xfId="0" applyFont="1" applyFill="1" applyBorder="1" applyAlignment="1">
      <alignment horizontal="center" vertical="center" wrapText="1"/>
    </xf>
    <xf numFmtId="0" fontId="9" fillId="19" borderId="15" xfId="0" applyFont="1" applyFill="1" applyBorder="1" applyAlignment="1">
      <alignment horizontal="center" vertical="center" wrapText="1"/>
    </xf>
    <xf numFmtId="0" fontId="11"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11" fillId="0" borderId="15" xfId="0" applyFont="1" applyBorder="1" applyAlignment="1" applyProtection="1">
      <alignment horizontal="center" vertical="center" wrapText="1"/>
      <protection locked="0"/>
    </xf>
    <xf numFmtId="0" fontId="9" fillId="20" borderId="15" xfId="0" applyFont="1" applyFill="1" applyBorder="1" applyAlignment="1">
      <alignment horizontal="center" vertical="center" wrapText="1"/>
    </xf>
    <xf numFmtId="0" fontId="39" fillId="20" borderId="15" xfId="0" applyFont="1" applyFill="1" applyBorder="1" applyAlignment="1">
      <alignment horizontal="center" vertical="center" wrapText="1"/>
    </xf>
    <xf numFmtId="0" fontId="40" fillId="21" borderId="15" xfId="0" applyFont="1" applyFill="1" applyBorder="1" applyAlignment="1">
      <alignment horizontal="center" vertical="center" wrapText="1"/>
    </xf>
    <xf numFmtId="0" fontId="9" fillId="22" borderId="15" xfId="0" applyFont="1" applyFill="1" applyBorder="1" applyAlignment="1">
      <alignment horizontal="center" vertical="center" wrapText="1"/>
    </xf>
    <xf numFmtId="0" fontId="39" fillId="22" borderId="15" xfId="0" applyFont="1" applyFill="1" applyBorder="1" applyAlignment="1">
      <alignment horizontal="center" vertical="center" wrapText="1"/>
    </xf>
    <xf numFmtId="0" fontId="5" fillId="0" borderId="25" xfId="0" applyFont="1" applyFill="1" applyBorder="1" applyAlignment="1">
      <alignment horizontal="center" vertical="top"/>
    </xf>
    <xf numFmtId="0" fontId="5" fillId="0" borderId="26" xfId="0" applyFont="1" applyFill="1" applyBorder="1" applyAlignment="1">
      <alignment horizontal="center" vertical="top"/>
    </xf>
    <xf numFmtId="0" fontId="5" fillId="0" borderId="25" xfId="0" applyFont="1" applyFill="1" applyBorder="1" applyAlignment="1">
      <alignment horizontal="center" vertical="center" wrapText="1"/>
    </xf>
    <xf numFmtId="0" fontId="5" fillId="18" borderId="0" xfId="0" quotePrefix="1" applyFont="1" applyFill="1" applyBorder="1" applyAlignment="1">
      <alignment horizontal="center"/>
    </xf>
    <xf numFmtId="0" fontId="24" fillId="18" borderId="16" xfId="0" applyFont="1" applyFill="1" applyBorder="1" applyAlignment="1" applyProtection="1">
      <alignment horizontal="center"/>
      <protection locked="0"/>
    </xf>
    <xf numFmtId="0" fontId="5" fillId="18" borderId="24" xfId="0" applyFont="1" applyFill="1" applyBorder="1" applyAlignment="1" applyProtection="1">
      <alignment horizontal="center"/>
      <protection locked="0"/>
    </xf>
    <xf numFmtId="15" fontId="20" fillId="18" borderId="0" xfId="0" applyNumberFormat="1" applyFont="1" applyFill="1" applyAlignment="1">
      <alignment horizontal="center"/>
    </xf>
    <xf numFmtId="0" fontId="0" fillId="18" borderId="39" xfId="0" applyFill="1" applyBorder="1"/>
    <xf numFmtId="0" fontId="0" fillId="18" borderId="35" xfId="0" applyFill="1" applyBorder="1"/>
    <xf numFmtId="0" fontId="0" fillId="18" borderId="37" xfId="0" applyFill="1" applyBorder="1"/>
    <xf numFmtId="14" fontId="1" fillId="18" borderId="10" xfId="0" applyNumberFormat="1" applyFont="1" applyFill="1" applyBorder="1" applyAlignment="1" applyProtection="1">
      <alignment horizontal="center"/>
      <protection locked="0"/>
    </xf>
    <xf numFmtId="0" fontId="0" fillId="18" borderId="33" xfId="0" applyFill="1" applyBorder="1"/>
    <xf numFmtId="0" fontId="0" fillId="18" borderId="10" xfId="0" applyFill="1" applyBorder="1"/>
    <xf numFmtId="0" fontId="0" fillId="18" borderId="13" xfId="0" applyFill="1" applyBorder="1"/>
    <xf numFmtId="0" fontId="0" fillId="18" borderId="41" xfId="0" applyFill="1" applyBorder="1"/>
    <xf numFmtId="0" fontId="0" fillId="18" borderId="11" xfId="0" applyFill="1" applyBorder="1"/>
    <xf numFmtId="0" fontId="0" fillId="18" borderId="36" xfId="0" applyFill="1" applyBorder="1"/>
    <xf numFmtId="0" fontId="10" fillId="18" borderId="0" xfId="0" applyFont="1" applyFill="1" applyBorder="1"/>
    <xf numFmtId="0" fontId="8" fillId="18" borderId="0" xfId="0" applyFont="1" applyFill="1" applyBorder="1" applyAlignment="1">
      <alignment horizontal="center"/>
    </xf>
    <xf numFmtId="0" fontId="0" fillId="18" borderId="41" xfId="0" applyFill="1" applyBorder="1" applyProtection="1">
      <protection locked="0"/>
    </xf>
    <xf numFmtId="0" fontId="0" fillId="18" borderId="11" xfId="0" applyFill="1" applyBorder="1" applyProtection="1">
      <protection locked="0"/>
    </xf>
    <xf numFmtId="0" fontId="0" fillId="18" borderId="36" xfId="0" applyFill="1" applyBorder="1" applyProtection="1">
      <protection locked="0"/>
    </xf>
    <xf numFmtId="0" fontId="0" fillId="18" borderId="35" xfId="0" applyFill="1" applyBorder="1" applyProtection="1">
      <protection locked="0"/>
    </xf>
    <xf numFmtId="0" fontId="0" fillId="18" borderId="37" xfId="0" applyFill="1" applyBorder="1" applyProtection="1">
      <protection locked="0"/>
    </xf>
    <xf numFmtId="0" fontId="36" fillId="18" borderId="35" xfId="0" applyFont="1" applyFill="1" applyBorder="1" applyProtection="1">
      <protection locked="0"/>
    </xf>
    <xf numFmtId="0" fontId="36" fillId="18" borderId="0" xfId="0" applyFont="1" applyFill="1" applyBorder="1" applyProtection="1">
      <protection locked="0"/>
    </xf>
    <xf numFmtId="0" fontId="36" fillId="18" borderId="37" xfId="0" applyFont="1" applyFill="1" applyBorder="1" applyProtection="1">
      <protection locked="0"/>
    </xf>
    <xf numFmtId="0" fontId="0" fillId="18" borderId="10" xfId="0" applyFill="1" applyBorder="1" applyProtection="1">
      <protection locked="0"/>
    </xf>
    <xf numFmtId="0" fontId="0" fillId="18" borderId="33" xfId="0" applyFill="1" applyBorder="1" applyProtection="1">
      <protection locked="0"/>
    </xf>
    <xf numFmtId="0" fontId="0" fillId="18" borderId="13" xfId="0" applyFill="1" applyBorder="1" applyProtection="1">
      <protection locked="0"/>
    </xf>
    <xf numFmtId="0" fontId="60" fillId="18" borderId="0" xfId="0" applyFont="1" applyFill="1"/>
    <xf numFmtId="0" fontId="1" fillId="18" borderId="0" xfId="0" applyFont="1" applyFill="1" applyAlignment="1">
      <alignment horizontal="center"/>
    </xf>
    <xf numFmtId="0" fontId="0" fillId="18" borderId="10" xfId="0" applyFill="1" applyBorder="1" applyAlignment="1">
      <alignment horizontal="center"/>
    </xf>
    <xf numFmtId="0" fontId="0" fillId="18" borderId="0" xfId="0" applyFill="1" applyAlignment="1">
      <alignment horizontal="centerContinuous"/>
    </xf>
    <xf numFmtId="0" fontId="5" fillId="18" borderId="42" xfId="0" applyFont="1" applyFill="1" applyBorder="1" applyAlignment="1">
      <alignment vertical="center" wrapText="1"/>
    </xf>
    <xf numFmtId="0" fontId="5" fillId="18" borderId="42" xfId="0" applyFont="1" applyFill="1" applyBorder="1" applyAlignment="1">
      <alignment horizontal="center" vertical="center" wrapText="1" shrinkToFit="1"/>
    </xf>
    <xf numFmtId="0" fontId="5" fillId="18" borderId="42" xfId="0" applyFont="1" applyFill="1" applyBorder="1" applyAlignment="1">
      <alignment horizontal="center"/>
    </xf>
    <xf numFmtId="0" fontId="0" fillId="18" borderId="43" xfId="0" applyFill="1" applyBorder="1" applyAlignment="1">
      <alignment horizontal="center" vertical="center" wrapText="1"/>
    </xf>
    <xf numFmtId="0" fontId="5" fillId="18" borderId="43" xfId="0" applyFont="1" applyFill="1" applyBorder="1" applyAlignment="1">
      <alignment horizontal="center" vertical="center" wrapText="1" shrinkToFit="1"/>
    </xf>
    <xf numFmtId="0" fontId="5" fillId="18" borderId="43" xfId="0" applyFont="1" applyFill="1" applyBorder="1" applyAlignment="1">
      <alignment horizontal="center"/>
    </xf>
    <xf numFmtId="0" fontId="0" fillId="18" borderId="14" xfId="0" applyFill="1" applyBorder="1" applyAlignment="1">
      <alignment vertical="center" wrapText="1"/>
    </xf>
    <xf numFmtId="0" fontId="5" fillId="18" borderId="14" xfId="0" applyFont="1" applyFill="1" applyBorder="1" applyAlignment="1">
      <alignment horizontal="center" vertical="center" wrapText="1" shrinkToFit="1"/>
    </xf>
    <xf numFmtId="0" fontId="5" fillId="18" borderId="14" xfId="0" applyFont="1" applyFill="1" applyBorder="1" applyAlignment="1">
      <alignment horizontal="center"/>
    </xf>
    <xf numFmtId="0" fontId="5" fillId="18" borderId="35" xfId="0" applyFont="1" applyFill="1" applyBorder="1" applyAlignment="1" applyProtection="1">
      <alignment vertical="top" wrapText="1"/>
      <protection locked="0"/>
    </xf>
    <xf numFmtId="0" fontId="5" fillId="18" borderId="35" xfId="0" applyFont="1" applyFill="1" applyBorder="1" applyAlignment="1" applyProtection="1">
      <alignment horizontal="center" vertical="top" wrapText="1"/>
      <protection locked="0"/>
    </xf>
    <xf numFmtId="0" fontId="5" fillId="18" borderId="33" xfId="0" applyFont="1" applyFill="1" applyBorder="1" applyAlignment="1" applyProtection="1">
      <alignment vertical="top" wrapText="1"/>
      <protection locked="0"/>
    </xf>
    <xf numFmtId="0" fontId="5" fillId="18" borderId="33" xfId="0" applyFont="1" applyFill="1" applyBorder="1" applyAlignment="1" applyProtection="1">
      <alignment horizontal="center" vertical="top" wrapText="1"/>
      <protection locked="0"/>
    </xf>
    <xf numFmtId="0" fontId="5" fillId="18" borderId="43" xfId="0" applyFont="1" applyFill="1" applyBorder="1" applyAlignment="1" applyProtection="1">
      <alignment vertical="top" wrapText="1"/>
      <protection locked="0"/>
    </xf>
    <xf numFmtId="0" fontId="5" fillId="18" borderId="14" xfId="0" applyFont="1" applyFill="1" applyBorder="1" applyAlignment="1" applyProtection="1">
      <alignment vertical="top" wrapText="1"/>
      <protection locked="0"/>
    </xf>
    <xf numFmtId="0" fontId="0" fillId="18" borderId="35" xfId="0" applyFill="1" applyBorder="1" applyAlignment="1">
      <alignment horizontal="center"/>
    </xf>
    <xf numFmtId="0" fontId="5" fillId="18" borderId="0" xfId="0" applyFont="1" applyFill="1" applyAlignment="1">
      <alignment vertical="top" wrapText="1"/>
    </xf>
    <xf numFmtId="0" fontId="5" fillId="18" borderId="0" xfId="0" applyFont="1" applyFill="1" applyAlignment="1">
      <alignment horizontal="center" vertical="top" wrapText="1"/>
    </xf>
    <xf numFmtId="0" fontId="5" fillId="18" borderId="0" xfId="0" applyFont="1" applyFill="1" applyAlignment="1">
      <alignment horizontal="center"/>
    </xf>
    <xf numFmtId="0" fontId="5" fillId="18" borderId="0" xfId="0" applyFont="1" applyFill="1" applyAlignment="1">
      <alignment horizontal="right" vertical="top"/>
    </xf>
    <xf numFmtId="0" fontId="61" fillId="18" borderId="0" xfId="0" applyFont="1" applyFill="1" applyAlignment="1">
      <alignment vertical="top" wrapText="1"/>
    </xf>
    <xf numFmtId="167" fontId="5" fillId="18" borderId="0" xfId="0" applyNumberFormat="1" applyFont="1" applyFill="1" applyAlignment="1">
      <alignment vertical="top" wrapText="1"/>
    </xf>
    <xf numFmtId="0" fontId="0" fillId="18" borderId="0" xfId="0" applyFill="1" applyAlignment="1">
      <alignment vertical="top" wrapText="1"/>
    </xf>
    <xf numFmtId="167" fontId="0" fillId="18" borderId="0" xfId="0" applyNumberFormat="1" applyFill="1" applyAlignment="1">
      <alignment vertical="top" wrapText="1"/>
    </xf>
    <xf numFmtId="0" fontId="0" fillId="18" borderId="0" xfId="0" applyFill="1" applyAlignment="1">
      <alignment horizontal="center" vertical="top" wrapText="1"/>
    </xf>
    <xf numFmtId="0" fontId="5" fillId="18" borderId="0" xfId="0" applyFont="1" applyFill="1"/>
    <xf numFmtId="0" fontId="5" fillId="18" borderId="41" xfId="0" applyFont="1" applyFill="1" applyBorder="1"/>
    <xf numFmtId="0" fontId="5" fillId="18" borderId="11" xfId="0" applyFont="1" applyFill="1" applyBorder="1"/>
    <xf numFmtId="0" fontId="5" fillId="18" borderId="36" xfId="0" applyFont="1" applyFill="1" applyBorder="1"/>
    <xf numFmtId="0" fontId="10" fillId="18" borderId="33" xfId="0" applyFont="1" applyFill="1" applyBorder="1"/>
    <xf numFmtId="0" fontId="10" fillId="18" borderId="10" xfId="0" applyFont="1" applyFill="1" applyBorder="1"/>
    <xf numFmtId="0" fontId="10" fillId="18" borderId="13" xfId="0" applyFont="1" applyFill="1" applyBorder="1"/>
    <xf numFmtId="0" fontId="10" fillId="18" borderId="10" xfId="0" applyFont="1" applyFill="1" applyBorder="1" applyAlignment="1">
      <alignment horizontal="left"/>
    </xf>
    <xf numFmtId="0" fontId="10" fillId="18" borderId="13" xfId="0" applyFont="1" applyFill="1" applyBorder="1" applyAlignment="1">
      <alignment horizontal="center"/>
    </xf>
    <xf numFmtId="0" fontId="10" fillId="18" borderId="13" xfId="0" applyFont="1" applyFill="1" applyBorder="1" applyAlignment="1">
      <alignment horizontal="right"/>
    </xf>
    <xf numFmtId="0" fontId="12" fillId="18" borderId="33" xfId="0" applyFont="1" applyFill="1" applyBorder="1" applyProtection="1">
      <protection locked="0"/>
    </xf>
    <xf numFmtId="0" fontId="12" fillId="18" borderId="33" xfId="0" applyFont="1" applyFill="1" applyBorder="1" applyAlignment="1" applyProtection="1">
      <alignment horizontal="centerContinuous"/>
      <protection locked="0"/>
    </xf>
    <xf numFmtId="0" fontId="10" fillId="18" borderId="10" xfId="0" applyFont="1" applyFill="1" applyBorder="1" applyAlignment="1">
      <alignment horizontal="centerContinuous"/>
    </xf>
    <xf numFmtId="0" fontId="10" fillId="18" borderId="13" xfId="0" applyFont="1" applyFill="1" applyBorder="1" applyAlignment="1">
      <alignment horizontal="centerContinuous"/>
    </xf>
    <xf numFmtId="0" fontId="12" fillId="18" borderId="33" xfId="0" applyFont="1" applyFill="1" applyBorder="1" applyAlignment="1" applyProtection="1">
      <protection locked="0"/>
    </xf>
    <xf numFmtId="0" fontId="10" fillId="18" borderId="10" xfId="0" applyFont="1" applyFill="1" applyBorder="1" applyAlignment="1"/>
    <xf numFmtId="0" fontId="5" fillId="18" borderId="34" xfId="0" applyFont="1" applyFill="1" applyBorder="1" applyAlignment="1">
      <alignment horizontal="centerContinuous"/>
    </xf>
    <xf numFmtId="0" fontId="5" fillId="18" borderId="16" xfId="0" applyFont="1" applyFill="1" applyBorder="1" applyAlignment="1">
      <alignment horizontal="centerContinuous"/>
    </xf>
    <xf numFmtId="0" fontId="5" fillId="18" borderId="23" xfId="0" applyFont="1" applyFill="1" applyBorder="1" applyAlignment="1"/>
    <xf numFmtId="0" fontId="0" fillId="18" borderId="10" xfId="0" applyFill="1" applyBorder="1" applyAlignment="1">
      <alignment horizontal="left"/>
    </xf>
    <xf numFmtId="0" fontId="0" fillId="18" borderId="0" xfId="0" applyFill="1" applyAlignment="1">
      <alignment vertical="center"/>
    </xf>
    <xf numFmtId="0" fontId="0" fillId="18" borderId="11" xfId="0" applyFill="1" applyBorder="1" applyAlignment="1">
      <alignment horizontal="center"/>
    </xf>
    <xf numFmtId="0" fontId="16" fillId="18" borderId="0" xfId="0" applyFont="1" applyFill="1" applyBorder="1" applyAlignment="1" applyProtection="1">
      <alignment horizontal="left"/>
      <protection locked="0"/>
    </xf>
    <xf numFmtId="0" fontId="16" fillId="18" borderId="0" xfId="0" quotePrefix="1" applyFont="1" applyFill="1" applyBorder="1" applyAlignment="1" applyProtection="1">
      <alignment horizontal="left"/>
      <protection locked="0"/>
    </xf>
    <xf numFmtId="0" fontId="5" fillId="18" borderId="35" xfId="0" applyFont="1" applyFill="1" applyBorder="1"/>
    <xf numFmtId="0" fontId="5" fillId="18" borderId="33" xfId="0" applyFont="1" applyFill="1" applyBorder="1"/>
    <xf numFmtId="0" fontId="0" fillId="18" borderId="13" xfId="0" applyFill="1" applyBorder="1" applyAlignment="1">
      <alignment horizontal="right"/>
    </xf>
    <xf numFmtId="0" fontId="5" fillId="18" borderId="10" xfId="0" applyFont="1" applyFill="1" applyBorder="1"/>
    <xf numFmtId="0" fontId="63" fillId="18" borderId="10" xfId="0" applyFont="1" applyFill="1" applyBorder="1" applyAlignment="1">
      <alignment horizontal="center"/>
    </xf>
    <xf numFmtId="0" fontId="5" fillId="18" borderId="17" xfId="0" applyFont="1" applyFill="1" applyBorder="1"/>
    <xf numFmtId="0" fontId="0" fillId="18" borderId="44" xfId="0" applyFill="1" applyBorder="1"/>
    <xf numFmtId="0" fontId="0" fillId="18" borderId="45" xfId="0" applyFill="1" applyBorder="1" applyProtection="1">
      <protection locked="0"/>
    </xf>
    <xf numFmtId="0" fontId="0" fillId="18" borderId="46" xfId="0" applyFill="1" applyBorder="1" applyProtection="1">
      <protection locked="0"/>
    </xf>
    <xf numFmtId="0" fontId="0" fillId="18" borderId="47" xfId="0" applyFill="1" applyBorder="1" applyProtection="1">
      <protection locked="0"/>
    </xf>
    <xf numFmtId="0" fontId="0" fillId="18" borderId="48" xfId="0" applyFill="1" applyBorder="1"/>
    <xf numFmtId="0" fontId="0" fillId="18" borderId="48" xfId="0" applyFill="1" applyBorder="1" applyProtection="1">
      <protection locked="0"/>
    </xf>
    <xf numFmtId="0" fontId="0" fillId="18" borderId="49" xfId="0" applyFill="1" applyBorder="1" applyProtection="1">
      <protection locked="0"/>
    </xf>
    <xf numFmtId="0" fontId="63" fillId="18" borderId="0" xfId="0" applyFont="1" applyFill="1" applyAlignment="1">
      <alignment horizontal="center"/>
    </xf>
    <xf numFmtId="0" fontId="0" fillId="18" borderId="42" xfId="0" applyFill="1" applyBorder="1"/>
    <xf numFmtId="0" fontId="0" fillId="18" borderId="50" xfId="0" applyFill="1" applyBorder="1"/>
    <xf numFmtId="0" fontId="0" fillId="18" borderId="51" xfId="0" applyFill="1" applyBorder="1"/>
    <xf numFmtId="0" fontId="5" fillId="18" borderId="52" xfId="0" applyFont="1" applyFill="1" applyBorder="1" applyAlignment="1">
      <alignment horizontal="center"/>
    </xf>
    <xf numFmtId="0" fontId="5" fillId="18" borderId="37" xfId="0" applyFont="1" applyFill="1" applyBorder="1" applyAlignment="1">
      <alignment horizontal="center"/>
    </xf>
    <xf numFmtId="0" fontId="5" fillId="18" borderId="12" xfId="0" applyFont="1" applyFill="1" applyBorder="1" applyAlignment="1">
      <alignment horizontal="centerContinuous"/>
    </xf>
    <xf numFmtId="0" fontId="5" fillId="18" borderId="0" xfId="0" applyFont="1" applyFill="1" applyBorder="1" applyAlignment="1">
      <alignment horizontal="centerContinuous"/>
    </xf>
    <xf numFmtId="0" fontId="5" fillId="18" borderId="37" xfId="0" applyFont="1" applyFill="1" applyBorder="1" applyAlignment="1">
      <alignment horizontal="centerContinuous"/>
    </xf>
    <xf numFmtId="0" fontId="5" fillId="18" borderId="35" xfId="0" applyFont="1" applyFill="1" applyBorder="1" applyAlignment="1">
      <alignment horizontal="centerContinuous"/>
    </xf>
    <xf numFmtId="0" fontId="5" fillId="18" borderId="33" xfId="0" applyFont="1" applyFill="1" applyBorder="1" applyAlignment="1">
      <alignment horizontal="centerContinuous"/>
    </xf>
    <xf numFmtId="0" fontId="5" fillId="18" borderId="29" xfId="0" applyFont="1" applyFill="1" applyBorder="1" applyAlignment="1">
      <alignment horizontal="centerContinuous"/>
    </xf>
    <xf numFmtId="0" fontId="5" fillId="18" borderId="53" xfId="0" applyFont="1" applyFill="1" applyBorder="1" applyAlignment="1">
      <alignment horizontal="center"/>
    </xf>
    <xf numFmtId="0" fontId="5" fillId="18" borderId="15" xfId="0" applyFont="1" applyFill="1" applyBorder="1" applyAlignment="1">
      <alignment horizontal="center"/>
    </xf>
    <xf numFmtId="0" fontId="5" fillId="18" borderId="13" xfId="0" applyFont="1" applyFill="1" applyBorder="1" applyAlignment="1">
      <alignment horizontal="center"/>
    </xf>
    <xf numFmtId="0" fontId="62" fillId="18" borderId="21" xfId="0" applyFont="1" applyFill="1" applyBorder="1" applyAlignment="1">
      <alignment horizontal="center"/>
    </xf>
    <xf numFmtId="0" fontId="62" fillId="18" borderId="15" xfId="0" applyFont="1" applyFill="1" applyBorder="1" applyAlignment="1">
      <alignment horizontal="center"/>
    </xf>
    <xf numFmtId="0" fontId="62" fillId="18" borderId="22" xfId="0" applyFont="1" applyFill="1" applyBorder="1" applyAlignment="1">
      <alignment horizontal="center"/>
    </xf>
    <xf numFmtId="0" fontId="5" fillId="18" borderId="54" xfId="0" applyFont="1" applyFill="1" applyBorder="1" applyAlignment="1">
      <alignment horizontal="center"/>
    </xf>
    <xf numFmtId="0" fontId="0" fillId="18" borderId="15" xfId="0" applyFill="1" applyBorder="1" applyProtection="1">
      <protection locked="0"/>
    </xf>
    <xf numFmtId="0" fontId="0" fillId="18" borderId="21" xfId="0" applyFill="1" applyBorder="1" applyProtection="1">
      <protection locked="0"/>
    </xf>
    <xf numFmtId="0" fontId="0" fillId="18" borderId="22" xfId="0" applyFill="1" applyBorder="1" applyProtection="1">
      <protection locked="0"/>
    </xf>
    <xf numFmtId="0" fontId="0" fillId="18" borderId="55" xfId="0" applyFill="1" applyBorder="1" applyProtection="1">
      <protection locked="0"/>
    </xf>
    <xf numFmtId="0" fontId="0" fillId="18" borderId="23" xfId="0" applyFill="1" applyBorder="1" applyProtection="1">
      <protection locked="0"/>
    </xf>
    <xf numFmtId="0" fontId="0" fillId="18" borderId="25" xfId="0" applyFill="1" applyBorder="1" applyProtection="1">
      <protection locked="0"/>
    </xf>
    <xf numFmtId="0" fontId="0" fillId="18" borderId="27" xfId="0" applyFill="1" applyBorder="1" applyProtection="1">
      <protection locked="0"/>
    </xf>
    <xf numFmtId="0" fontId="0" fillId="18" borderId="56" xfId="0" applyFill="1" applyBorder="1" applyProtection="1">
      <protection locked="0"/>
    </xf>
    <xf numFmtId="0" fontId="5" fillId="18" borderId="34" xfId="0" applyFont="1" applyFill="1" applyBorder="1"/>
    <xf numFmtId="0" fontId="0" fillId="18" borderId="38" xfId="0" applyFill="1" applyBorder="1"/>
    <xf numFmtId="0" fontId="0" fillId="18" borderId="38" xfId="0" applyFill="1" applyBorder="1" applyProtection="1">
      <protection locked="0"/>
    </xf>
    <xf numFmtId="0" fontId="0" fillId="18" borderId="16" xfId="0" applyFill="1" applyBorder="1" applyProtection="1">
      <protection locked="0"/>
    </xf>
    <xf numFmtId="0" fontId="0" fillId="18" borderId="18" xfId="0" applyFill="1" applyBorder="1" applyProtection="1">
      <protection locked="0"/>
    </xf>
    <xf numFmtId="0" fontId="0" fillId="18" borderId="50" xfId="0" applyFill="1" applyBorder="1" applyProtection="1">
      <protection locked="0"/>
    </xf>
    <xf numFmtId="0" fontId="5" fillId="18" borderId="51" xfId="0" applyFont="1" applyFill="1" applyBorder="1"/>
    <xf numFmtId="0" fontId="5" fillId="18" borderId="47" xfId="0" applyFont="1" applyFill="1" applyBorder="1"/>
    <xf numFmtId="0" fontId="0" fillId="18" borderId="24" xfId="0" applyFill="1" applyBorder="1" applyProtection="1">
      <protection locked="0"/>
    </xf>
    <xf numFmtId="0" fontId="0" fillId="23" borderId="35" xfId="0" applyFill="1" applyBorder="1"/>
    <xf numFmtId="0" fontId="0" fillId="23" borderId="0" xfId="0" applyFill="1"/>
    <xf numFmtId="0" fontId="5" fillId="23" borderId="17" xfId="0" applyFont="1" applyFill="1" applyBorder="1"/>
    <xf numFmtId="0" fontId="0" fillId="23" borderId="18" xfId="0" applyFill="1" applyBorder="1"/>
    <xf numFmtId="0" fontId="0" fillId="23" borderId="44" xfId="0" applyFill="1" applyBorder="1"/>
    <xf numFmtId="0" fontId="5" fillId="23" borderId="35" xfId="0" applyFont="1" applyFill="1" applyBorder="1"/>
    <xf numFmtId="0" fontId="5" fillId="23" borderId="12" xfId="0" applyFont="1" applyFill="1" applyBorder="1"/>
    <xf numFmtId="0" fontId="0" fillId="23" borderId="0" xfId="0" applyFill="1" applyBorder="1"/>
    <xf numFmtId="0" fontId="0" fillId="23" borderId="29" xfId="0" applyFill="1" applyBorder="1"/>
    <xf numFmtId="0" fontId="5" fillId="23" borderId="33" xfId="0" applyFont="1" applyFill="1" applyBorder="1"/>
    <xf numFmtId="0" fontId="0" fillId="23" borderId="10" xfId="0" applyFill="1" applyBorder="1"/>
    <xf numFmtId="0" fontId="5" fillId="23" borderId="45" xfId="0" applyFont="1" applyFill="1" applyBorder="1"/>
    <xf numFmtId="0" fontId="0" fillId="23" borderId="46" xfId="0" applyFill="1" applyBorder="1"/>
    <xf numFmtId="0" fontId="27" fillId="24" borderId="29" xfId="0" applyFont="1" applyFill="1" applyBorder="1" applyAlignment="1">
      <alignment horizontal="center" vertical="center" wrapText="1"/>
    </xf>
    <xf numFmtId="0" fontId="27" fillId="24" borderId="29" xfId="0" applyFont="1" applyFill="1" applyBorder="1" applyAlignment="1">
      <alignment horizontal="center" vertical="top" wrapText="1"/>
    </xf>
    <xf numFmtId="0" fontId="27" fillId="24" borderId="47" xfId="0" applyFont="1" applyFill="1" applyBorder="1" applyAlignment="1">
      <alignment horizontal="center" vertical="top" wrapText="1"/>
    </xf>
    <xf numFmtId="0" fontId="27" fillId="24" borderId="48" xfId="0" applyFont="1" applyFill="1" applyBorder="1" applyAlignment="1">
      <alignment horizontal="center" vertical="top" wrapText="1"/>
    </xf>
    <xf numFmtId="0" fontId="27" fillId="24" borderId="49" xfId="0" applyFont="1" applyFill="1" applyBorder="1" applyAlignment="1">
      <alignment horizontal="center" vertical="top" wrapText="1"/>
    </xf>
    <xf numFmtId="0" fontId="15" fillId="18" borderId="13" xfId="0" applyFont="1" applyFill="1" applyBorder="1" applyAlignment="1">
      <alignment horizontal="center"/>
    </xf>
    <xf numFmtId="0" fontId="33" fillId="18" borderId="0" xfId="0" applyFont="1" applyFill="1" applyBorder="1" applyAlignment="1">
      <alignment horizontal="center"/>
    </xf>
    <xf numFmtId="0" fontId="12" fillId="18" borderId="10" xfId="0" applyFont="1" applyFill="1" applyBorder="1"/>
    <xf numFmtId="0" fontId="12" fillId="18" borderId="13" xfId="0" applyFont="1" applyFill="1" applyBorder="1"/>
    <xf numFmtId="0" fontId="12" fillId="18" borderId="0" xfId="0" applyFont="1" applyFill="1"/>
    <xf numFmtId="0" fontId="14" fillId="18" borderId="33" xfId="0" applyFont="1" applyFill="1" applyBorder="1"/>
    <xf numFmtId="0" fontId="5" fillId="18" borderId="41" xfId="0" applyFont="1" applyFill="1" applyBorder="1" applyProtection="1">
      <protection locked="0"/>
    </xf>
    <xf numFmtId="0" fontId="5" fillId="18" borderId="11" xfId="0" applyFont="1" applyFill="1" applyBorder="1" applyProtection="1">
      <protection locked="0"/>
    </xf>
    <xf numFmtId="0" fontId="5" fillId="18" borderId="36" xfId="0" applyFont="1" applyFill="1" applyBorder="1" applyProtection="1">
      <protection locked="0"/>
    </xf>
    <xf numFmtId="0" fontId="12" fillId="18" borderId="10" xfId="0" applyFont="1" applyFill="1" applyBorder="1" applyProtection="1">
      <protection locked="0"/>
    </xf>
    <xf numFmtId="0" fontId="12" fillId="18" borderId="13" xfId="0" applyFont="1" applyFill="1" applyBorder="1" applyProtection="1">
      <protection locked="0"/>
    </xf>
    <xf numFmtId="165" fontId="12" fillId="18" borderId="33" xfId="0" applyNumberFormat="1" applyFont="1" applyFill="1" applyBorder="1" applyAlignment="1" applyProtection="1">
      <alignment horizontal="centerContinuous"/>
      <protection locked="0"/>
    </xf>
    <xf numFmtId="165" fontId="12" fillId="18" borderId="13" xfId="0" applyNumberFormat="1" applyFont="1" applyFill="1" applyBorder="1" applyAlignment="1">
      <alignment horizontal="centerContinuous"/>
    </xf>
    <xf numFmtId="165" fontId="12" fillId="18" borderId="10" xfId="0" applyNumberFormat="1" applyFont="1" applyFill="1" applyBorder="1" applyAlignment="1" applyProtection="1">
      <alignment horizontal="centerContinuous"/>
      <protection locked="0"/>
    </xf>
    <xf numFmtId="0" fontId="12" fillId="18" borderId="13" xfId="0" applyFont="1" applyFill="1" applyBorder="1" applyAlignment="1">
      <alignment horizontal="centerContinuous"/>
    </xf>
    <xf numFmtId="0" fontId="1" fillId="18" borderId="41" xfId="0" applyFont="1" applyFill="1" applyBorder="1" applyAlignment="1">
      <alignment horizontal="centerContinuous"/>
    </xf>
    <xf numFmtId="0" fontId="1" fillId="18" borderId="11" xfId="0" applyFont="1" applyFill="1" applyBorder="1" applyAlignment="1">
      <alignment horizontal="centerContinuous"/>
    </xf>
    <xf numFmtId="0" fontId="1" fillId="18" borderId="36" xfId="0" applyFont="1" applyFill="1" applyBorder="1" applyAlignment="1">
      <alignment horizontal="centerContinuous"/>
    </xf>
    <xf numFmtId="0" fontId="0" fillId="18" borderId="0" xfId="0" applyFill="1" applyProtection="1">
      <protection locked="0"/>
    </xf>
    <xf numFmtId="0" fontId="0" fillId="18" borderId="15" xfId="0" applyFill="1" applyBorder="1" applyAlignment="1">
      <alignment horizontal="center"/>
    </xf>
    <xf numFmtId="166" fontId="12" fillId="18" borderId="15" xfId="0" applyNumberFormat="1" applyFont="1" applyFill="1" applyBorder="1" applyAlignment="1" applyProtection="1">
      <alignment horizontal="center"/>
      <protection locked="0"/>
    </xf>
    <xf numFmtId="0" fontId="12" fillId="18" borderId="15" xfId="0" applyFont="1" applyFill="1" applyBorder="1" applyAlignment="1" applyProtection="1">
      <alignment horizontal="center"/>
      <protection locked="0"/>
    </xf>
    <xf numFmtId="165" fontId="0" fillId="18" borderId="15" xfId="0" quotePrefix="1" applyNumberFormat="1" applyFill="1" applyBorder="1" applyAlignment="1" applyProtection="1">
      <alignment horizontal="center"/>
      <protection locked="0"/>
    </xf>
    <xf numFmtId="0" fontId="0" fillId="18" borderId="0" xfId="0" quotePrefix="1" applyFill="1"/>
    <xf numFmtId="165" fontId="0" fillId="18" borderId="0" xfId="0" applyNumberFormat="1" applyFill="1" applyAlignment="1" applyProtection="1">
      <alignment horizontal="center"/>
      <protection locked="0"/>
    </xf>
    <xf numFmtId="0" fontId="11" fillId="18" borderId="34" xfId="0" applyFont="1" applyFill="1" applyBorder="1" applyAlignment="1">
      <alignment horizontal="centerContinuous"/>
    </xf>
    <xf numFmtId="0" fontId="5" fillId="18" borderId="38" xfId="0" applyFont="1" applyFill="1" applyBorder="1" applyAlignment="1">
      <alignment horizontal="centerContinuous"/>
    </xf>
    <xf numFmtId="0" fontId="11" fillId="18" borderId="38" xfId="0" applyFont="1" applyFill="1" applyBorder="1" applyAlignment="1">
      <alignment horizontal="centerContinuous"/>
    </xf>
    <xf numFmtId="165" fontId="0" fillId="18" borderId="38" xfId="0" applyNumberFormat="1" applyFill="1" applyBorder="1" applyAlignment="1">
      <alignment horizontal="centerContinuous"/>
    </xf>
    <xf numFmtId="0" fontId="0" fillId="18" borderId="38" xfId="0" applyFill="1" applyBorder="1" applyAlignment="1">
      <alignment horizontal="centerContinuous"/>
    </xf>
    <xf numFmtId="0" fontId="0" fillId="18" borderId="16" xfId="0" applyFill="1" applyBorder="1" applyAlignment="1">
      <alignment horizontal="centerContinuous"/>
    </xf>
    <xf numFmtId="0" fontId="1" fillId="18" borderId="41" xfId="0" applyFont="1" applyFill="1" applyBorder="1"/>
    <xf numFmtId="0" fontId="0" fillId="18" borderId="0" xfId="0" applyFill="1" applyBorder="1" applyAlignment="1">
      <alignment horizontal="right"/>
    </xf>
    <xf numFmtId="0" fontId="0" fillId="18" borderId="0" xfId="0" quotePrefix="1" applyFill="1" applyBorder="1"/>
    <xf numFmtId="0" fontId="0" fillId="18" borderId="35" xfId="0" applyFill="1" applyBorder="1" applyAlignment="1">
      <alignment horizontal="right"/>
    </xf>
    <xf numFmtId="166" fontId="0" fillId="18" borderId="0" xfId="0" applyNumberFormat="1" applyFill="1" applyBorder="1" applyAlignment="1">
      <alignment horizontal="left"/>
    </xf>
    <xf numFmtId="165" fontId="0" fillId="18" borderId="10" xfId="0" applyNumberFormat="1" applyFill="1" applyBorder="1" applyAlignment="1">
      <alignment horizontal="left"/>
    </xf>
    <xf numFmtId="165" fontId="0" fillId="18" borderId="0" xfId="0" applyNumberFormat="1" applyFill="1" applyBorder="1" applyAlignment="1">
      <alignment horizontal="left"/>
    </xf>
    <xf numFmtId="0" fontId="1" fillId="18" borderId="35" xfId="0" applyFont="1" applyFill="1" applyBorder="1"/>
    <xf numFmtId="0" fontId="8" fillId="18" borderId="0" xfId="0" applyFont="1" applyFill="1" applyBorder="1"/>
    <xf numFmtId="0" fontId="0" fillId="18" borderId="0" xfId="0" applyFill="1" applyAlignment="1" applyProtection="1">
      <alignment horizontal="centerContinuous"/>
      <protection locked="0"/>
    </xf>
    <xf numFmtId="0" fontId="11" fillId="18" borderId="0" xfId="0" applyFont="1" applyFill="1"/>
    <xf numFmtId="0" fontId="2" fillId="18" borderId="0" xfId="0" applyFont="1" applyFill="1" applyBorder="1" applyAlignment="1">
      <alignment horizontal="centerContinuous"/>
    </xf>
    <xf numFmtId="0" fontId="2" fillId="18" borderId="0" xfId="0" applyFont="1" applyFill="1" applyBorder="1" applyAlignment="1">
      <alignment horizontal="center"/>
    </xf>
    <xf numFmtId="0" fontId="65" fillId="18" borderId="0" xfId="0" applyFont="1" applyFill="1"/>
    <xf numFmtId="0" fontId="12" fillId="18" borderId="35" xfId="0" applyFont="1" applyFill="1" applyBorder="1" applyProtection="1">
      <protection locked="0"/>
    </xf>
    <xf numFmtId="0" fontId="12" fillId="18" borderId="0" xfId="0" applyFont="1" applyFill="1" applyBorder="1"/>
    <xf numFmtId="0" fontId="12" fillId="18" borderId="37" xfId="0" applyFont="1" applyFill="1" applyBorder="1"/>
    <xf numFmtId="0" fontId="12" fillId="18" borderId="10" xfId="0" applyFont="1" applyFill="1" applyBorder="1" applyAlignment="1">
      <alignment horizontal="center"/>
    </xf>
    <xf numFmtId="0" fontId="12" fillId="18" borderId="13" xfId="0" applyFont="1" applyFill="1" applyBorder="1" applyAlignment="1">
      <alignment horizontal="center"/>
    </xf>
    <xf numFmtId="0" fontId="12" fillId="18" borderId="0" xfId="0" applyFont="1" applyFill="1" applyBorder="1" applyProtection="1">
      <protection locked="0"/>
    </xf>
    <xf numFmtId="0" fontId="5" fillId="18" borderId="0" xfId="0" applyFont="1" applyFill="1" applyAlignment="1">
      <alignment horizontal="left"/>
    </xf>
    <xf numFmtId="0" fontId="15" fillId="18" borderId="15" xfId="0" applyFont="1" applyFill="1" applyBorder="1" applyAlignment="1">
      <alignment horizontal="center"/>
    </xf>
    <xf numFmtId="0" fontId="15" fillId="18" borderId="15" xfId="0" applyFont="1" applyFill="1" applyBorder="1" applyAlignment="1">
      <alignment horizontal="center" wrapText="1"/>
    </xf>
    <xf numFmtId="0" fontId="10" fillId="18" borderId="15" xfId="0" applyFont="1" applyFill="1" applyBorder="1" applyAlignment="1">
      <alignment horizontal="center"/>
    </xf>
    <xf numFmtId="0" fontId="10" fillId="18" borderId="0" xfId="0" applyFont="1" applyFill="1" applyAlignment="1">
      <alignment horizontal="center"/>
    </xf>
    <xf numFmtId="0" fontId="15" fillId="18" borderId="11" xfId="0" applyFont="1" applyFill="1" applyBorder="1" applyAlignment="1">
      <alignment horizontal="center"/>
    </xf>
    <xf numFmtId="0" fontId="10" fillId="18" borderId="11" xfId="0" applyFont="1" applyFill="1" applyBorder="1" applyAlignment="1">
      <alignment horizontal="center"/>
    </xf>
    <xf numFmtId="0" fontId="10" fillId="18" borderId="0" xfId="0" applyFont="1" applyFill="1" applyBorder="1" applyAlignment="1">
      <alignment horizontal="center"/>
    </xf>
    <xf numFmtId="0" fontId="15" fillId="18" borderId="0" xfId="0" applyFont="1" applyFill="1" applyBorder="1" applyAlignment="1">
      <alignment horizontal="center"/>
    </xf>
    <xf numFmtId="0" fontId="10" fillId="18" borderId="0" xfId="0" applyFont="1" applyFill="1" applyBorder="1" applyAlignment="1"/>
    <xf numFmtId="0" fontId="66" fillId="18" borderId="0" xfId="0" applyFont="1" applyFill="1" applyBorder="1" applyAlignment="1"/>
    <xf numFmtId="0" fontId="15" fillId="18" borderId="0" xfId="0" applyFont="1" applyFill="1" applyAlignment="1">
      <alignment horizontal="center"/>
    </xf>
    <xf numFmtId="0" fontId="15" fillId="18" borderId="0" xfId="0" applyFont="1" applyFill="1" applyBorder="1" applyAlignment="1">
      <alignment horizontal="center" vertical="center"/>
    </xf>
    <xf numFmtId="0" fontId="15" fillId="18" borderId="36" xfId="0" applyFont="1" applyFill="1" applyBorder="1" applyAlignment="1">
      <alignment horizontal="center"/>
    </xf>
    <xf numFmtId="0" fontId="0" fillId="18" borderId="41" xfId="0" applyFill="1" applyBorder="1" applyAlignment="1">
      <alignment horizontal="left"/>
    </xf>
    <xf numFmtId="0" fontId="0" fillId="18" borderId="11" xfId="0" applyFill="1" applyBorder="1" applyAlignment="1">
      <alignment horizontal="left"/>
    </xf>
    <xf numFmtId="0" fontId="0" fillId="18" borderId="36" xfId="0" applyFill="1" applyBorder="1" applyAlignment="1">
      <alignment horizontal="center"/>
    </xf>
    <xf numFmtId="0" fontId="0" fillId="18" borderId="42" xfId="0" applyFill="1" applyBorder="1" applyAlignment="1">
      <alignment horizontal="center"/>
    </xf>
    <xf numFmtId="0" fontId="0" fillId="18" borderId="33" xfId="0" applyFill="1" applyBorder="1" applyAlignment="1">
      <alignment horizontal="left"/>
    </xf>
    <xf numFmtId="0" fontId="0" fillId="18" borderId="13" xfId="0" applyFill="1" applyBorder="1" applyAlignment="1">
      <alignment horizontal="center"/>
    </xf>
    <xf numFmtId="168" fontId="0" fillId="18" borderId="14" xfId="0" applyNumberFormat="1" applyFill="1" applyBorder="1" applyAlignment="1">
      <alignment horizontal="center"/>
    </xf>
    <xf numFmtId="169" fontId="0" fillId="18" borderId="0" xfId="0" applyNumberFormat="1" applyFill="1" applyBorder="1" applyAlignment="1">
      <alignment horizontal="center"/>
    </xf>
    <xf numFmtId="2" fontId="0" fillId="18" borderId="0" xfId="0" applyNumberFormat="1" applyFill="1" applyAlignment="1">
      <alignment horizontal="center"/>
    </xf>
    <xf numFmtId="0" fontId="0" fillId="18" borderId="16" xfId="0" applyFill="1" applyBorder="1" applyAlignment="1">
      <alignment horizontal="center"/>
    </xf>
    <xf numFmtId="0" fontId="0" fillId="18" borderId="11" xfId="0" applyFill="1" applyBorder="1" applyAlignment="1"/>
    <xf numFmtId="0" fontId="0" fillId="18" borderId="11" xfId="0" applyFill="1" applyBorder="1" applyAlignment="1">
      <alignment horizontal="right"/>
    </xf>
    <xf numFmtId="0" fontId="37" fillId="18" borderId="0" xfId="0" applyFont="1" applyFill="1" applyAlignment="1">
      <alignment horizontal="centerContinuous"/>
    </xf>
    <xf numFmtId="0" fontId="5" fillId="18" borderId="11" xfId="0" applyFont="1" applyFill="1" applyBorder="1" applyAlignment="1">
      <alignment horizontal="centerContinuous"/>
    </xf>
    <xf numFmtId="0" fontId="5" fillId="18" borderId="36" xfId="0" applyFont="1" applyFill="1" applyBorder="1" applyAlignment="1">
      <alignment horizontal="centerContinuous"/>
    </xf>
    <xf numFmtId="0" fontId="14" fillId="18" borderId="33" xfId="0" applyFont="1" applyFill="1" applyBorder="1" applyAlignment="1" applyProtection="1">
      <alignment horizontal="centerContinuous"/>
    </xf>
    <xf numFmtId="0" fontId="14" fillId="18" borderId="13" xfId="0" applyFont="1" applyFill="1" applyBorder="1" applyAlignment="1" applyProtection="1">
      <alignment horizontal="centerContinuous"/>
    </xf>
    <xf numFmtId="0" fontId="0" fillId="18" borderId="13" xfId="0" applyFill="1" applyBorder="1" applyAlignment="1">
      <alignment horizontal="centerContinuous"/>
    </xf>
    <xf numFmtId="0" fontId="0" fillId="18" borderId="33" xfId="0" applyFill="1" applyBorder="1" applyAlignment="1">
      <alignment horizontal="centerContinuous"/>
    </xf>
    <xf numFmtId="0" fontId="13" fillId="18" borderId="0" xfId="0" quotePrefix="1" applyFont="1" applyFill="1" applyBorder="1" applyAlignment="1">
      <alignment horizontal="right"/>
    </xf>
    <xf numFmtId="0" fontId="1" fillId="18" borderId="17" xfId="0" applyFont="1" applyFill="1" applyBorder="1"/>
    <xf numFmtId="0" fontId="1" fillId="18" borderId="57" xfId="0" applyFont="1" applyFill="1" applyBorder="1" applyAlignment="1">
      <alignment horizontal="centerContinuous"/>
    </xf>
    <xf numFmtId="0" fontId="1" fillId="18" borderId="58" xfId="0" applyFont="1" applyFill="1" applyBorder="1" applyAlignment="1">
      <alignment horizontal="centerContinuous"/>
    </xf>
    <xf numFmtId="0" fontId="1" fillId="18" borderId="59" xfId="0" applyFont="1" applyFill="1" applyBorder="1" applyAlignment="1">
      <alignment horizontal="centerContinuous"/>
    </xf>
    <xf numFmtId="0" fontId="1" fillId="18" borderId="51" xfId="0" applyFont="1" applyFill="1" applyBorder="1" applyAlignment="1">
      <alignment horizontal="centerContinuous"/>
    </xf>
    <xf numFmtId="0" fontId="0" fillId="18" borderId="44" xfId="0" applyFill="1" applyBorder="1" applyAlignment="1">
      <alignment horizontal="centerContinuous"/>
    </xf>
    <xf numFmtId="0" fontId="5" fillId="18" borderId="30" xfId="0" applyFont="1" applyFill="1" applyBorder="1"/>
    <xf numFmtId="0" fontId="5" fillId="18" borderId="58" xfId="0" applyFont="1" applyFill="1" applyBorder="1"/>
    <xf numFmtId="0" fontId="11" fillId="18" borderId="58" xfId="0" applyFont="1" applyFill="1" applyBorder="1" applyAlignment="1">
      <alignment horizontal="center"/>
    </xf>
    <xf numFmtId="0" fontId="5" fillId="18" borderId="59" xfId="0" applyFont="1" applyFill="1" applyBorder="1"/>
    <xf numFmtId="0" fontId="63" fillId="18" borderId="57" xfId="0" applyFont="1" applyFill="1" applyBorder="1" applyAlignment="1">
      <alignment horizontal="centerContinuous"/>
    </xf>
    <xf numFmtId="0" fontId="63" fillId="18" borderId="58" xfId="0" applyFont="1" applyFill="1" applyBorder="1" applyAlignment="1">
      <alignment horizontal="centerContinuous"/>
    </xf>
    <xf numFmtId="0" fontId="0" fillId="18" borderId="58" xfId="0" applyFill="1" applyBorder="1" applyAlignment="1">
      <alignment horizontal="centerContinuous"/>
    </xf>
    <xf numFmtId="0" fontId="0" fillId="18" borderId="60" xfId="0" applyFill="1" applyBorder="1" applyAlignment="1">
      <alignment horizontal="centerContinuous"/>
    </xf>
    <xf numFmtId="0" fontId="1" fillId="18" borderId="47" xfId="0" applyFont="1" applyFill="1" applyBorder="1"/>
    <xf numFmtId="0" fontId="0" fillId="18" borderId="24" xfId="0" applyFill="1" applyBorder="1"/>
    <xf numFmtId="0" fontId="1" fillId="18" borderId="25" xfId="0" applyFont="1" applyFill="1" applyBorder="1" applyAlignment="1">
      <alignment horizontal="center"/>
    </xf>
    <xf numFmtId="0" fontId="0" fillId="18" borderId="49" xfId="0" applyFill="1" applyBorder="1"/>
    <xf numFmtId="0" fontId="1" fillId="18" borderId="61" xfId="0" applyFont="1" applyFill="1" applyBorder="1"/>
    <xf numFmtId="0" fontId="0" fillId="18" borderId="62" xfId="0" applyFill="1" applyBorder="1"/>
    <xf numFmtId="0" fontId="0" fillId="18" borderId="30" xfId="0" applyFill="1" applyBorder="1"/>
    <xf numFmtId="0" fontId="0" fillId="18" borderId="59" xfId="0" applyFill="1" applyBorder="1" applyAlignment="1">
      <alignment horizontal="center"/>
    </xf>
    <xf numFmtId="2" fontId="12" fillId="18" borderId="28" xfId="0" applyNumberFormat="1" applyFont="1" applyFill="1" applyBorder="1" applyAlignment="1" applyProtection="1">
      <alignment horizontal="center"/>
      <protection locked="0"/>
    </xf>
    <xf numFmtId="0" fontId="0" fillId="18" borderId="58" xfId="0" applyFill="1" applyBorder="1"/>
    <xf numFmtId="165" fontId="0" fillId="18" borderId="60" xfId="0" applyNumberFormat="1" applyFill="1" applyBorder="1" applyAlignment="1">
      <alignment horizontal="center"/>
    </xf>
    <xf numFmtId="0" fontId="0" fillId="18" borderId="12" xfId="0" applyFill="1" applyBorder="1" applyAlignment="1">
      <alignment horizontal="center"/>
    </xf>
    <xf numFmtId="0" fontId="67" fillId="18" borderId="0" xfId="0" applyFont="1" applyFill="1" applyBorder="1"/>
    <xf numFmtId="0" fontId="1" fillId="18" borderId="15" xfId="0" applyFont="1" applyFill="1" applyBorder="1" applyAlignment="1">
      <alignment horizontal="center"/>
    </xf>
    <xf numFmtId="0" fontId="1" fillId="18" borderId="16" xfId="0" applyFont="1" applyFill="1" applyBorder="1" applyAlignment="1">
      <alignment horizontal="center"/>
    </xf>
    <xf numFmtId="0" fontId="0" fillId="18" borderId="29" xfId="0" applyFill="1" applyBorder="1"/>
    <xf numFmtId="164" fontId="0" fillId="18" borderId="63" xfId="0" applyNumberFormat="1" applyFill="1" applyBorder="1" applyAlignment="1">
      <alignment horizontal="left"/>
    </xf>
    <xf numFmtId="2" fontId="12" fillId="18" borderId="15" xfId="0" applyNumberFormat="1" applyFont="1" applyFill="1" applyBorder="1" applyAlignment="1" applyProtection="1">
      <alignment horizontal="center"/>
      <protection locked="0"/>
    </xf>
    <xf numFmtId="165" fontId="0" fillId="18" borderId="46" xfId="0" applyNumberFormat="1" applyFill="1" applyBorder="1" applyAlignment="1">
      <alignment horizontal="center"/>
    </xf>
    <xf numFmtId="0" fontId="0" fillId="18" borderId="43" xfId="0" applyFill="1" applyBorder="1" applyAlignment="1">
      <alignment horizontal="center"/>
    </xf>
    <xf numFmtId="0" fontId="0" fillId="18" borderId="37" xfId="0" applyFill="1" applyBorder="1" applyAlignment="1">
      <alignment horizontal="center"/>
    </xf>
    <xf numFmtId="164" fontId="0" fillId="18" borderId="45" xfId="0" quotePrefix="1" applyNumberFormat="1" applyFill="1" applyBorder="1" applyAlignment="1">
      <alignment horizontal="left"/>
    </xf>
    <xf numFmtId="0" fontId="0" fillId="18" borderId="45" xfId="0" applyFill="1" applyBorder="1"/>
    <xf numFmtId="0" fontId="0" fillId="18" borderId="14" xfId="0" applyFill="1" applyBorder="1" applyAlignment="1">
      <alignment horizontal="center"/>
    </xf>
    <xf numFmtId="2" fontId="0" fillId="18" borderId="10" xfId="0" applyNumberFormat="1" applyFill="1" applyBorder="1" applyAlignment="1">
      <alignment horizontal="left"/>
    </xf>
    <xf numFmtId="0" fontId="0" fillId="18" borderId="46" xfId="0" applyFill="1" applyBorder="1"/>
    <xf numFmtId="2" fontId="0" fillId="18" borderId="15" xfId="0" applyNumberFormat="1" applyFill="1" applyBorder="1" applyAlignment="1">
      <alignment horizontal="center"/>
    </xf>
    <xf numFmtId="0" fontId="67" fillId="18" borderId="33" xfId="0" applyFont="1" applyFill="1" applyBorder="1" applyAlignment="1">
      <alignment horizontal="center"/>
    </xf>
    <xf numFmtId="164" fontId="0" fillId="18" borderId="47" xfId="0" quotePrefix="1" applyNumberFormat="1" applyFill="1" applyBorder="1" applyAlignment="1">
      <alignment horizontal="left"/>
    </xf>
    <xf numFmtId="0" fontId="0" fillId="18" borderId="24" xfId="0" applyFill="1" applyBorder="1" applyAlignment="1">
      <alignment horizontal="center"/>
    </xf>
    <xf numFmtId="2" fontId="0" fillId="18" borderId="25" xfId="0" applyNumberFormat="1" applyFill="1" applyBorder="1" applyAlignment="1">
      <alignment horizontal="center"/>
    </xf>
    <xf numFmtId="0" fontId="67" fillId="18" borderId="39" xfId="0" applyFont="1" applyFill="1" applyBorder="1" applyAlignment="1">
      <alignment horizontal="center"/>
    </xf>
    <xf numFmtId="2" fontId="69" fillId="18" borderId="28" xfId="0" applyNumberFormat="1" applyFont="1" applyFill="1" applyBorder="1" applyAlignment="1" applyProtection="1">
      <alignment horizontal="center"/>
      <protection locked="0"/>
    </xf>
    <xf numFmtId="2" fontId="69" fillId="18" borderId="15" xfId="0" applyNumberFormat="1" applyFont="1" applyFill="1" applyBorder="1" applyAlignment="1" applyProtection="1">
      <alignment horizontal="center"/>
      <protection locked="0"/>
    </xf>
    <xf numFmtId="165" fontId="0" fillId="18" borderId="0" xfId="0" quotePrefix="1" applyNumberFormat="1" applyFill="1" applyBorder="1" applyAlignment="1">
      <alignment horizontal="left"/>
    </xf>
    <xf numFmtId="2" fontId="0" fillId="18" borderId="0" xfId="0" applyNumberFormat="1" applyFill="1" applyBorder="1" applyAlignment="1">
      <alignment horizontal="left"/>
    </xf>
    <xf numFmtId="0" fontId="70" fillId="18" borderId="15" xfId="0" applyFont="1" applyFill="1" applyBorder="1" applyAlignment="1">
      <alignment horizontal="center"/>
    </xf>
    <xf numFmtId="166" fontId="0" fillId="18" borderId="15" xfId="0" applyNumberFormat="1" applyFill="1" applyBorder="1" applyAlignment="1">
      <alignment horizontal="center"/>
    </xf>
    <xf numFmtId="166" fontId="0" fillId="18" borderId="0" xfId="0" applyNumberFormat="1" applyFill="1" applyBorder="1"/>
    <xf numFmtId="166" fontId="0" fillId="18" borderId="37" xfId="0" applyNumberFormat="1" applyFill="1" applyBorder="1" applyAlignment="1">
      <alignment horizontal="center"/>
    </xf>
    <xf numFmtId="0" fontId="2" fillId="18" borderId="35" xfId="0" applyFont="1" applyFill="1" applyBorder="1" applyAlignment="1">
      <alignment horizontal="centerContinuous"/>
    </xf>
    <xf numFmtId="2" fontId="0" fillId="18" borderId="0" xfId="0" applyNumberFormat="1" applyFill="1" applyBorder="1" applyAlignment="1">
      <alignment horizontal="centerContinuous"/>
    </xf>
    <xf numFmtId="0" fontId="0" fillId="18" borderId="29" xfId="0" applyFill="1" applyBorder="1" applyAlignment="1">
      <alignment horizontal="centerContinuous"/>
    </xf>
    <xf numFmtId="164" fontId="0" fillId="18" borderId="17" xfId="0" applyNumberFormat="1" applyFill="1" applyBorder="1" applyAlignment="1">
      <alignment horizontal="left"/>
    </xf>
    <xf numFmtId="2" fontId="0" fillId="18" borderId="50" xfId="0" applyNumberFormat="1" applyFill="1" applyBorder="1"/>
    <xf numFmtId="0" fontId="67" fillId="18" borderId="51" xfId="0" applyFont="1" applyFill="1" applyBorder="1" applyAlignment="1">
      <alignment horizontal="center"/>
    </xf>
    <xf numFmtId="165" fontId="0" fillId="18" borderId="44" xfId="0" applyNumberFormat="1" applyFill="1" applyBorder="1" applyAlignment="1">
      <alignment horizontal="center"/>
    </xf>
    <xf numFmtId="164" fontId="0" fillId="18" borderId="47" xfId="0" applyNumberFormat="1" applyFill="1" applyBorder="1" applyAlignment="1">
      <alignment horizontal="left"/>
    </xf>
    <xf numFmtId="2" fontId="0" fillId="18" borderId="24" xfId="0" applyNumberFormat="1" applyFill="1" applyBorder="1" applyAlignment="1">
      <alignment horizontal="center"/>
    </xf>
    <xf numFmtId="0" fontId="0" fillId="18" borderId="39" xfId="0" applyFill="1" applyBorder="1" applyAlignment="1">
      <alignment horizontal="center"/>
    </xf>
    <xf numFmtId="165" fontId="0" fillId="18" borderId="49" xfId="0" applyNumberFormat="1" applyFill="1" applyBorder="1" applyAlignment="1">
      <alignment horizontal="center"/>
    </xf>
    <xf numFmtId="0" fontId="0" fillId="18" borderId="45" xfId="0" applyFill="1" applyBorder="1" applyAlignment="1">
      <alignment horizontal="center"/>
    </xf>
    <xf numFmtId="2" fontId="0" fillId="18" borderId="0" xfId="0" quotePrefix="1" applyNumberFormat="1" applyFill="1" applyBorder="1" applyAlignment="1">
      <alignment horizontal="left"/>
    </xf>
    <xf numFmtId="164" fontId="0" fillId="18" borderId="30" xfId="0" quotePrefix="1" applyNumberFormat="1" applyFill="1" applyBorder="1" applyAlignment="1">
      <alignment horizontal="left"/>
    </xf>
    <xf numFmtId="0" fontId="67" fillId="18" borderId="57" xfId="0" applyFont="1" applyFill="1" applyBorder="1" applyAlignment="1">
      <alignment horizontal="center"/>
    </xf>
    <xf numFmtId="164" fontId="0" fillId="18" borderId="63" xfId="0" quotePrefix="1" applyNumberFormat="1" applyFill="1" applyBorder="1" applyAlignment="1">
      <alignment horizontal="left"/>
    </xf>
    <xf numFmtId="0" fontId="72" fillId="18" borderId="38" xfId="0" applyFont="1" applyFill="1" applyBorder="1"/>
    <xf numFmtId="0" fontId="67" fillId="18" borderId="33" xfId="0" applyFont="1" applyFill="1" applyBorder="1" applyAlignment="1">
      <alignment horizontal="left"/>
    </xf>
    <xf numFmtId="165" fontId="0" fillId="18" borderId="64" xfId="0" applyNumberFormat="1" applyFill="1" applyBorder="1" applyAlignment="1">
      <alignment horizontal="center"/>
    </xf>
    <xf numFmtId="0" fontId="13" fillId="18" borderId="10" xfId="0" applyFont="1" applyFill="1" applyBorder="1"/>
    <xf numFmtId="0" fontId="13" fillId="18" borderId="38" xfId="0" applyFont="1" applyFill="1" applyBorder="1"/>
    <xf numFmtId="0" fontId="13" fillId="18" borderId="38" xfId="0" quotePrefix="1" applyFont="1" applyFill="1" applyBorder="1" applyAlignment="1">
      <alignment horizontal="center"/>
    </xf>
    <xf numFmtId="0" fontId="0" fillId="18" borderId="34" xfId="0" applyFill="1" applyBorder="1" applyAlignment="1">
      <alignment horizontal="left"/>
    </xf>
    <xf numFmtId="0" fontId="0" fillId="18" borderId="0" xfId="0" quotePrefix="1" applyFill="1" applyBorder="1" applyAlignment="1">
      <alignment horizontal="center"/>
    </xf>
    <xf numFmtId="166" fontId="0" fillId="18" borderId="13" xfId="0" applyNumberFormat="1" applyFill="1" applyBorder="1" applyAlignment="1">
      <alignment horizontal="center"/>
    </xf>
    <xf numFmtId="0" fontId="0" fillId="18" borderId="61" xfId="0" applyFill="1" applyBorder="1"/>
    <xf numFmtId="1" fontId="0" fillId="18" borderId="0" xfId="0" quotePrefix="1" applyNumberFormat="1" applyFill="1" applyBorder="1" applyAlignment="1">
      <alignment horizontal="left"/>
    </xf>
    <xf numFmtId="0" fontId="5" fillId="18" borderId="12" xfId="0" applyFont="1" applyFill="1" applyBorder="1"/>
    <xf numFmtId="0" fontId="0" fillId="18" borderId="10" xfId="0" quotePrefix="1" applyFill="1" applyBorder="1" applyAlignment="1">
      <alignment horizontal="center"/>
    </xf>
    <xf numFmtId="0" fontId="0" fillId="18" borderId="47" xfId="0" applyFill="1" applyBorder="1"/>
    <xf numFmtId="0" fontId="5" fillId="18" borderId="48" xfId="0" applyFont="1" applyFill="1" applyBorder="1"/>
    <xf numFmtId="2" fontId="0" fillId="18" borderId="0" xfId="0" applyNumberFormat="1" applyFill="1"/>
    <xf numFmtId="0" fontId="0" fillId="18" borderId="37" xfId="0" quotePrefix="1" applyFill="1" applyBorder="1"/>
    <xf numFmtId="2" fontId="0" fillId="18" borderId="0" xfId="0" quotePrefix="1" applyNumberFormat="1" applyFill="1"/>
    <xf numFmtId="0" fontId="74" fillId="18" borderId="0" xfId="0" applyFont="1" applyFill="1"/>
    <xf numFmtId="0" fontId="15" fillId="18" borderId="38" xfId="0" applyFont="1" applyFill="1" applyBorder="1"/>
    <xf numFmtId="0" fontId="15" fillId="18" borderId="38" xfId="0" applyFont="1" applyFill="1" applyBorder="1" applyAlignment="1">
      <alignment horizontal="center"/>
    </xf>
    <xf numFmtId="0" fontId="0" fillId="18" borderId="0" xfId="0" quotePrefix="1" applyFill="1" applyAlignment="1">
      <alignment horizontal="center"/>
    </xf>
    <xf numFmtId="2" fontId="0" fillId="18" borderId="0" xfId="0" applyNumberFormat="1" applyFill="1" applyBorder="1" applyAlignment="1">
      <alignment horizontal="center"/>
    </xf>
    <xf numFmtId="0" fontId="41" fillId="18" borderId="0" xfId="0" applyFont="1" applyFill="1" applyBorder="1" applyAlignment="1">
      <alignment horizontal="left"/>
    </xf>
    <xf numFmtId="0" fontId="41" fillId="18" borderId="10" xfId="0" applyFont="1" applyFill="1" applyBorder="1" applyAlignment="1"/>
    <xf numFmtId="0" fontId="1" fillId="18" borderId="34" xfId="0" applyFont="1" applyFill="1" applyBorder="1" applyAlignment="1">
      <alignment horizontal="centerContinuous"/>
    </xf>
    <xf numFmtId="0" fontId="1" fillId="18" borderId="38" xfId="0" applyFont="1" applyFill="1" applyBorder="1" applyAlignment="1">
      <alignment horizontal="centerContinuous"/>
    </xf>
    <xf numFmtId="0" fontId="1" fillId="18" borderId="16" xfId="0" applyFont="1" applyFill="1" applyBorder="1" applyAlignment="1">
      <alignment horizontal="centerContinuous"/>
    </xf>
    <xf numFmtId="0" fontId="0" fillId="18" borderId="36" xfId="0" applyFill="1" applyBorder="1" applyAlignment="1">
      <alignment horizontal="centerContinuous"/>
    </xf>
    <xf numFmtId="0" fontId="1" fillId="18" borderId="33" xfId="0" applyFont="1" applyFill="1" applyBorder="1"/>
    <xf numFmtId="2" fontId="12" fillId="18" borderId="65" xfId="0" applyNumberFormat="1" applyFont="1" applyFill="1" applyBorder="1" applyAlignment="1" applyProtection="1">
      <alignment horizontal="center"/>
      <protection locked="0"/>
    </xf>
    <xf numFmtId="2" fontId="12" fillId="18" borderId="14" xfId="0" applyNumberFormat="1" applyFont="1" applyFill="1" applyBorder="1" applyAlignment="1" applyProtection="1">
      <alignment horizontal="center"/>
      <protection locked="0"/>
    </xf>
    <xf numFmtId="165" fontId="0" fillId="18" borderId="66" xfId="0" applyNumberFormat="1" applyFill="1" applyBorder="1" applyAlignment="1">
      <alignment horizontal="center"/>
    </xf>
    <xf numFmtId="0" fontId="77" fillId="18" borderId="0" xfId="0" applyFont="1" applyFill="1"/>
    <xf numFmtId="0" fontId="0" fillId="18" borderId="15" xfId="0" applyFill="1" applyBorder="1"/>
    <xf numFmtId="165" fontId="0" fillId="18" borderId="15" xfId="0" quotePrefix="1" applyNumberFormat="1" applyFill="1" applyBorder="1" applyAlignment="1">
      <alignment horizontal="center"/>
    </xf>
    <xf numFmtId="165" fontId="0" fillId="18" borderId="15" xfId="0" applyNumberFormat="1" applyFill="1" applyBorder="1"/>
    <xf numFmtId="165" fontId="0" fillId="18" borderId="0" xfId="0" applyNumberFormat="1" applyFill="1"/>
    <xf numFmtId="2" fontId="10" fillId="18" borderId="0" xfId="0" applyNumberFormat="1" applyFont="1" applyFill="1" applyBorder="1" applyAlignment="1">
      <alignment horizontal="center"/>
    </xf>
    <xf numFmtId="0" fontId="5" fillId="18" borderId="37" xfId="0" applyFont="1" applyFill="1" applyBorder="1"/>
    <xf numFmtId="0" fontId="72" fillId="18" borderId="34" xfId="0" applyFont="1" applyFill="1" applyBorder="1" applyAlignment="1">
      <alignment horizontal="center"/>
    </xf>
    <xf numFmtId="2" fontId="5" fillId="18" borderId="38" xfId="0" applyNumberFormat="1" applyFont="1" applyFill="1" applyBorder="1"/>
    <xf numFmtId="2" fontId="5" fillId="18" borderId="38" xfId="0" applyNumberFormat="1" applyFont="1" applyFill="1" applyBorder="1" applyAlignment="1">
      <alignment horizontal="centerContinuous"/>
    </xf>
    <xf numFmtId="0" fontId="1" fillId="18" borderId="0" xfId="0" applyFont="1" applyFill="1"/>
    <xf numFmtId="2" fontId="10" fillId="18" borderId="0" xfId="0" applyNumberFormat="1" applyFont="1" applyFill="1" applyAlignment="1">
      <alignment horizontal="center"/>
    </xf>
    <xf numFmtId="0" fontId="5" fillId="18" borderId="10" xfId="0" applyFont="1" applyFill="1" applyBorder="1" applyAlignment="1">
      <alignment vertical="center"/>
    </xf>
    <xf numFmtId="0" fontId="0" fillId="18" borderId="13" xfId="0" applyFill="1" applyBorder="1" applyAlignment="1">
      <alignment vertical="center"/>
    </xf>
    <xf numFmtId="0" fontId="10" fillId="18" borderId="0" xfId="0" applyFont="1" applyFill="1" applyAlignment="1">
      <alignment vertical="center"/>
    </xf>
    <xf numFmtId="0" fontId="19" fillId="18" borderId="15" xfId="0" applyFont="1" applyFill="1" applyBorder="1" applyAlignment="1">
      <alignment horizontal="center" vertical="center"/>
    </xf>
    <xf numFmtId="0" fontId="10" fillId="18" borderId="42" xfId="0" applyFont="1" applyFill="1" applyBorder="1" applyAlignment="1">
      <alignment horizontal="center"/>
    </xf>
    <xf numFmtId="0" fontId="0" fillId="18" borderId="15" xfId="0" applyFill="1" applyBorder="1" applyAlignment="1">
      <alignment horizontal="center" vertical="center"/>
    </xf>
    <xf numFmtId="1" fontId="65" fillId="18" borderId="15" xfId="0" applyNumberFormat="1" applyFont="1" applyFill="1" applyBorder="1" applyAlignment="1" applyProtection="1">
      <alignment horizontal="center" vertical="center"/>
      <protection locked="0"/>
    </xf>
    <xf numFmtId="0" fontId="10" fillId="18" borderId="43" xfId="0" applyFont="1" applyFill="1" applyBorder="1" applyAlignment="1">
      <alignment horizontal="center" vertical="center" wrapText="1"/>
    </xf>
    <xf numFmtId="0" fontId="0" fillId="18" borderId="14" xfId="0" applyFill="1" applyBorder="1" applyAlignment="1">
      <alignment horizontal="center" vertical="center"/>
    </xf>
    <xf numFmtId="0" fontId="10" fillId="18" borderId="14" xfId="0" applyFont="1" applyFill="1" applyBorder="1" applyAlignment="1">
      <alignment horizontal="center" vertical="top"/>
    </xf>
    <xf numFmtId="0" fontId="5" fillId="18" borderId="34" xfId="0" applyFont="1" applyFill="1" applyBorder="1" applyAlignment="1">
      <alignment horizontal="centerContinuous" vertical="center"/>
    </xf>
    <xf numFmtId="0" fontId="5" fillId="18" borderId="16" xfId="0" applyFont="1" applyFill="1" applyBorder="1" applyAlignment="1">
      <alignment horizontal="centerContinuous" vertical="center"/>
    </xf>
    <xf numFmtId="1" fontId="5" fillId="18" borderId="15" xfId="0" applyNumberFormat="1" applyFont="1" applyFill="1" applyBorder="1" applyAlignment="1">
      <alignment horizontal="center" vertical="center"/>
    </xf>
    <xf numFmtId="0" fontId="78" fillId="18" borderId="33" xfId="0" applyFont="1" applyFill="1" applyBorder="1" applyAlignment="1">
      <alignment vertical="center"/>
    </xf>
    <xf numFmtId="0" fontId="5" fillId="18" borderId="13" xfId="0" applyFont="1" applyFill="1" applyBorder="1" applyAlignment="1">
      <alignment horizontal="center" vertical="center" wrapText="1"/>
    </xf>
    <xf numFmtId="0" fontId="5" fillId="18" borderId="33" xfId="0" applyFont="1" applyFill="1" applyBorder="1" applyAlignment="1">
      <alignment vertical="center"/>
    </xf>
    <xf numFmtId="0" fontId="13" fillId="18" borderId="0" xfId="0" applyFont="1" applyFill="1" applyAlignment="1">
      <alignment horizontal="center"/>
    </xf>
    <xf numFmtId="0" fontId="0" fillId="18" borderId="34" xfId="0" applyFill="1" applyBorder="1"/>
    <xf numFmtId="0" fontId="75" fillId="18" borderId="0" xfId="0" applyFont="1" applyFill="1" applyBorder="1"/>
    <xf numFmtId="2" fontId="0" fillId="18" borderId="0" xfId="0" quotePrefix="1" applyNumberFormat="1" applyFill="1" applyBorder="1" applyAlignment="1">
      <alignment horizontal="center"/>
    </xf>
    <xf numFmtId="0" fontId="41" fillId="18" borderId="0" xfId="0" applyFont="1" applyFill="1" applyBorder="1" applyAlignment="1"/>
    <xf numFmtId="0" fontId="30" fillId="18" borderId="0" xfId="0" applyFont="1" applyFill="1" applyBorder="1" applyAlignment="1">
      <alignment horizontal="center"/>
    </xf>
    <xf numFmtId="1" fontId="65" fillId="18" borderId="16" xfId="0" applyNumberFormat="1" applyFont="1" applyFill="1" applyBorder="1" applyAlignment="1" applyProtection="1">
      <alignment horizontal="center" vertical="center"/>
      <protection locked="0"/>
    </xf>
    <xf numFmtId="0" fontId="0" fillId="0" borderId="0" xfId="0" applyAlignment="1">
      <alignment horizontal="center" vertical="center" wrapText="1"/>
    </xf>
    <xf numFmtId="0" fontId="0" fillId="18" borderId="0" xfId="0" applyFill="1" applyAlignment="1">
      <alignment horizontal="center" vertical="center" wrapText="1"/>
    </xf>
    <xf numFmtId="0" fontId="0" fillId="18" borderId="0" xfId="0" applyFill="1" applyBorder="1" applyAlignment="1">
      <alignment horizontal="center" vertical="center" wrapText="1"/>
    </xf>
    <xf numFmtId="0" fontId="9" fillId="18" borderId="15"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40" fillId="18" borderId="15" xfId="0" applyFont="1" applyFill="1" applyBorder="1" applyAlignment="1">
      <alignment horizontal="center" vertical="center" wrapText="1"/>
    </xf>
    <xf numFmtId="0" fontId="8" fillId="18" borderId="15" xfId="0" applyFont="1" applyFill="1" applyBorder="1" applyAlignment="1" applyProtection="1">
      <alignment horizontal="center" vertical="center" wrapText="1"/>
      <protection locked="0"/>
    </xf>
    <xf numFmtId="0" fontId="12" fillId="18" borderId="0" xfId="0" applyFont="1" applyFill="1" applyBorder="1" applyAlignment="1" applyProtection="1">
      <alignment horizontal="center" vertical="center" wrapText="1"/>
      <protection locked="0"/>
    </xf>
    <xf numFmtId="0" fontId="65" fillId="18" borderId="0" xfId="0" applyFont="1" applyFill="1" applyBorder="1" applyAlignment="1" applyProtection="1">
      <alignment horizontal="center" vertical="center" wrapText="1"/>
      <protection locked="0"/>
    </xf>
    <xf numFmtId="0" fontId="39" fillId="18" borderId="0" xfId="0" applyFont="1" applyFill="1" applyAlignment="1">
      <alignment horizontal="center" vertical="center" wrapText="1"/>
    </xf>
    <xf numFmtId="0" fontId="9" fillId="18" borderId="0" xfId="0" applyFont="1" applyFill="1" applyBorder="1" applyAlignment="1">
      <alignment horizontal="center" vertical="center" wrapText="1"/>
    </xf>
    <xf numFmtId="0" fontId="0" fillId="18" borderId="0" xfId="0" applyFill="1" applyAlignment="1">
      <alignment horizontal="right" wrapText="1"/>
    </xf>
    <xf numFmtId="0" fontId="11" fillId="18" borderId="0" xfId="0" applyFont="1" applyFill="1" applyBorder="1" applyAlignment="1">
      <alignment horizontal="center"/>
    </xf>
    <xf numFmtId="0" fontId="32" fillId="18" borderId="0" xfId="0" applyFont="1" applyFill="1" applyBorder="1"/>
    <xf numFmtId="0" fontId="42" fillId="18" borderId="10" xfId="0" applyFont="1" applyFill="1" applyBorder="1" applyAlignment="1">
      <alignment horizontal="center"/>
    </xf>
    <xf numFmtId="0" fontId="42" fillId="18" borderId="13" xfId="0" applyFont="1" applyFill="1" applyBorder="1" applyAlignment="1">
      <alignment horizontal="center"/>
    </xf>
    <xf numFmtId="0" fontId="1" fillId="18" borderId="57" xfId="0" applyFont="1" applyFill="1" applyBorder="1" applyAlignment="1">
      <alignment horizontal="centerContinuous" vertical="center"/>
    </xf>
    <xf numFmtId="1" fontId="0" fillId="18" borderId="0" xfId="0" applyNumberFormat="1" applyFill="1"/>
    <xf numFmtId="0" fontId="36" fillId="18" borderId="0" xfId="0" applyFont="1" applyFill="1"/>
    <xf numFmtId="0" fontId="87" fillId="18" borderId="0" xfId="0" applyFont="1" applyFill="1"/>
    <xf numFmtId="0" fontId="88" fillId="18" borderId="0" xfId="0" applyFont="1" applyFill="1"/>
    <xf numFmtId="0" fontId="89" fillId="0" borderId="0" xfId="0" applyFont="1" applyAlignment="1">
      <alignment horizontal="center"/>
    </xf>
    <xf numFmtId="0" fontId="89" fillId="18" borderId="0" xfId="0" applyFont="1" applyFill="1" applyAlignment="1">
      <alignment horizontal="center"/>
    </xf>
    <xf numFmtId="0" fontId="5" fillId="18" borderId="0" xfId="0" applyFont="1" applyFill="1" applyBorder="1" applyAlignment="1"/>
    <xf numFmtId="17" fontId="0" fillId="18" borderId="14" xfId="0" applyNumberFormat="1" applyFill="1" applyBorder="1" applyAlignment="1" applyProtection="1">
      <alignment horizontal="center" vertical="top" wrapText="1"/>
      <protection locked="0"/>
    </xf>
    <xf numFmtId="17" fontId="0" fillId="18" borderId="20" xfId="0" applyNumberFormat="1" applyFill="1" applyBorder="1" applyAlignment="1" applyProtection="1">
      <alignment horizontal="center" vertical="top"/>
      <protection locked="0"/>
    </xf>
    <xf numFmtId="0" fontId="1" fillId="18" borderId="67" xfId="0" applyFont="1" applyFill="1" applyBorder="1" applyAlignment="1" applyProtection="1">
      <alignment horizontal="center"/>
      <protection locked="0"/>
    </xf>
    <xf numFmtId="0" fontId="1" fillId="18" borderId="68" xfId="0" applyFont="1" applyFill="1" applyBorder="1" applyAlignment="1" applyProtection="1">
      <alignment horizontal="center"/>
      <protection locked="0"/>
    </xf>
    <xf numFmtId="0" fontId="0" fillId="25" borderId="17" xfId="0" applyFill="1" applyBorder="1"/>
    <xf numFmtId="0" fontId="0" fillId="25" borderId="18" xfId="0" applyFill="1" applyBorder="1"/>
    <xf numFmtId="0" fontId="0" fillId="25" borderId="44" xfId="0" applyFill="1" applyBorder="1"/>
    <xf numFmtId="0" fontId="0" fillId="25" borderId="12" xfId="0" applyFill="1" applyBorder="1"/>
    <xf numFmtId="0" fontId="0" fillId="25" borderId="0" xfId="0" applyFill="1" applyBorder="1"/>
    <xf numFmtId="0" fontId="0" fillId="25" borderId="0" xfId="0" applyFill="1" applyBorder="1" applyProtection="1">
      <protection locked="0"/>
    </xf>
    <xf numFmtId="0" fontId="0" fillId="25" borderId="0" xfId="0" applyFill="1"/>
    <xf numFmtId="0" fontId="0" fillId="25" borderId="29" xfId="0" applyFill="1" applyBorder="1"/>
    <xf numFmtId="0" fontId="33" fillId="25" borderId="0" xfId="0" applyFont="1" applyFill="1" applyBorder="1" applyAlignment="1">
      <alignment horizontal="center"/>
    </xf>
    <xf numFmtId="0" fontId="0" fillId="25" borderId="12" xfId="0" applyFill="1" applyBorder="1" applyProtection="1">
      <protection locked="0"/>
    </xf>
    <xf numFmtId="0" fontId="0" fillId="25" borderId="69" xfId="0" applyFill="1" applyBorder="1" applyAlignment="1">
      <alignment horizontal="center"/>
    </xf>
    <xf numFmtId="0" fontId="15" fillId="25" borderId="0" xfId="0" applyFont="1" applyFill="1" applyBorder="1" applyAlignment="1">
      <alignment horizontal="right"/>
    </xf>
    <xf numFmtId="170" fontId="0" fillId="25" borderId="0" xfId="0" applyNumberFormat="1" applyFill="1"/>
    <xf numFmtId="170" fontId="0" fillId="25" borderId="0" xfId="0" applyNumberFormat="1" applyFill="1" applyBorder="1"/>
    <xf numFmtId="0" fontId="15" fillId="25" borderId="0" xfId="0" applyFont="1" applyFill="1" applyBorder="1"/>
    <xf numFmtId="170" fontId="15" fillId="25" borderId="0" xfId="0" applyNumberFormat="1" applyFont="1" applyFill="1" applyBorder="1"/>
    <xf numFmtId="165" fontId="0" fillId="25" borderId="0" xfId="0" applyNumberFormat="1" applyFill="1"/>
    <xf numFmtId="165" fontId="0" fillId="25" borderId="0" xfId="0" applyNumberFormat="1" applyFill="1" applyBorder="1"/>
    <xf numFmtId="2" fontId="15" fillId="25" borderId="0" xfId="0" applyNumberFormat="1" applyFont="1" applyFill="1" applyBorder="1"/>
    <xf numFmtId="0" fontId="15" fillId="25" borderId="0" xfId="0" applyFont="1" applyFill="1" applyBorder="1" applyAlignment="1"/>
    <xf numFmtId="0" fontId="15" fillId="25" borderId="0" xfId="0" applyFont="1" applyFill="1"/>
    <xf numFmtId="166" fontId="0" fillId="25" borderId="0" xfId="0" applyNumberFormat="1" applyFill="1"/>
    <xf numFmtId="165" fontId="15" fillId="25" borderId="0" xfId="0" applyNumberFormat="1" applyFont="1" applyFill="1" applyBorder="1"/>
    <xf numFmtId="0" fontId="0" fillId="25" borderId="48" xfId="0" applyFill="1" applyBorder="1"/>
    <xf numFmtId="0" fontId="92" fillId="25" borderId="0" xfId="0" applyFont="1" applyFill="1" applyBorder="1"/>
    <xf numFmtId="0" fontId="13" fillId="25" borderId="0" xfId="0" applyFont="1" applyFill="1" applyBorder="1"/>
    <xf numFmtId="0" fontId="15" fillId="25" borderId="40" xfId="0" applyFont="1" applyFill="1" applyBorder="1" applyAlignment="1">
      <alignment horizontal="right"/>
    </xf>
    <xf numFmtId="0" fontId="0" fillId="25" borderId="69" xfId="0" applyFill="1" applyBorder="1" applyAlignment="1" applyProtection="1">
      <alignment horizontal="center"/>
      <protection locked="0"/>
    </xf>
    <xf numFmtId="166" fontId="93" fillId="18" borderId="70" xfId="0" applyNumberFormat="1" applyFont="1" applyFill="1" applyBorder="1" applyAlignment="1" applyProtection="1">
      <alignment horizontal="center"/>
      <protection locked="0"/>
    </xf>
    <xf numFmtId="0" fontId="15" fillId="25" borderId="69" xfId="0" applyFont="1" applyFill="1" applyBorder="1"/>
    <xf numFmtId="0" fontId="0" fillId="25" borderId="69" xfId="0" applyFill="1" applyBorder="1" applyProtection="1">
      <protection locked="0"/>
    </xf>
    <xf numFmtId="166" fontId="5" fillId="18" borderId="70" xfId="0" applyNumberFormat="1" applyFont="1" applyFill="1" applyBorder="1" applyAlignment="1" applyProtection="1">
      <alignment horizontal="center"/>
      <protection locked="0"/>
    </xf>
    <xf numFmtId="0" fontId="15" fillId="25" borderId="47" xfId="0" applyFont="1" applyFill="1" applyBorder="1" applyAlignment="1">
      <alignment horizontal="right"/>
    </xf>
    <xf numFmtId="166" fontId="5" fillId="25" borderId="70" xfId="0" applyNumberFormat="1" applyFont="1" applyFill="1" applyBorder="1" applyAlignment="1">
      <alignment horizontal="center"/>
    </xf>
    <xf numFmtId="166" fontId="5" fillId="25" borderId="70" xfId="0" applyNumberFormat="1" applyFont="1" applyFill="1" applyBorder="1" applyAlignment="1" applyProtection="1">
      <alignment horizontal="center"/>
      <protection hidden="1"/>
    </xf>
    <xf numFmtId="0" fontId="36" fillId="25" borderId="0" xfId="0" applyFont="1" applyFill="1" applyBorder="1" applyAlignment="1"/>
    <xf numFmtId="0" fontId="0" fillId="25" borderId="0" xfId="0" applyFill="1" applyAlignment="1">
      <alignment horizontal="center"/>
    </xf>
    <xf numFmtId="0" fontId="0" fillId="25" borderId="0" xfId="0" applyFill="1" applyBorder="1" applyAlignment="1">
      <alignment horizontal="center"/>
    </xf>
    <xf numFmtId="0" fontId="94" fillId="25" borderId="0" xfId="0" applyFont="1" applyFill="1" applyAlignment="1">
      <alignment horizontal="center"/>
    </xf>
    <xf numFmtId="0" fontId="95" fillId="25" borderId="0" xfId="0" applyFont="1" applyFill="1" applyAlignment="1">
      <alignment horizontal="center" wrapText="1"/>
    </xf>
    <xf numFmtId="0" fontId="96" fillId="25" borderId="0" xfId="0" applyFont="1" applyFill="1" applyAlignment="1">
      <alignment wrapText="1"/>
    </xf>
    <xf numFmtId="0" fontId="15" fillId="18" borderId="15" xfId="0" applyFont="1" applyFill="1" applyBorder="1"/>
    <xf numFmtId="166" fontId="97" fillId="18" borderId="15" xfId="0" applyNumberFormat="1" applyFont="1" applyFill="1" applyBorder="1" applyProtection="1">
      <protection hidden="1"/>
    </xf>
    <xf numFmtId="170" fontId="0" fillId="18" borderId="0" xfId="0" applyNumberFormat="1" applyFill="1" applyProtection="1"/>
    <xf numFmtId="166" fontId="98" fillId="18" borderId="15" xfId="0" applyNumberFormat="1" applyFont="1" applyFill="1" applyBorder="1" applyProtection="1">
      <protection hidden="1"/>
    </xf>
    <xf numFmtId="166" fontId="15" fillId="18" borderId="15" xfId="0" applyNumberFormat="1" applyFont="1" applyFill="1" applyBorder="1" applyProtection="1">
      <protection hidden="1"/>
    </xf>
    <xf numFmtId="171" fontId="15" fillId="18" borderId="15" xfId="0" applyNumberFormat="1" applyFont="1" applyFill="1" applyBorder="1" applyProtection="1">
      <protection hidden="1"/>
    </xf>
    <xf numFmtId="166" fontId="15" fillId="18" borderId="15" xfId="0" applyNumberFormat="1" applyFont="1" applyFill="1" applyBorder="1" applyAlignment="1" applyProtection="1">
      <alignment horizontal="right"/>
      <protection hidden="1"/>
    </xf>
    <xf numFmtId="0" fontId="0" fillId="25" borderId="71" xfId="0" applyFill="1" applyBorder="1"/>
    <xf numFmtId="0" fontId="103" fillId="18" borderId="10" xfId="0" applyFont="1" applyFill="1" applyBorder="1" applyAlignment="1">
      <alignment horizontal="center"/>
    </xf>
    <xf numFmtId="0" fontId="102" fillId="18" borderId="10" xfId="0" applyFont="1" applyFill="1" applyBorder="1" applyAlignment="1">
      <alignment horizontal="center"/>
    </xf>
    <xf numFmtId="0" fontId="97" fillId="18" borderId="33" xfId="0" applyFont="1" applyFill="1" applyBorder="1"/>
    <xf numFmtId="0" fontId="102" fillId="18" borderId="10" xfId="0" applyFont="1" applyFill="1" applyBorder="1"/>
    <xf numFmtId="0" fontId="102" fillId="0" borderId="14" xfId="0" applyFont="1" applyBorder="1" applyAlignment="1">
      <alignment horizontal="center"/>
    </xf>
    <xf numFmtId="0" fontId="102" fillId="0" borderId="15" xfId="0" applyFont="1" applyBorder="1" applyAlignment="1">
      <alignment horizontal="center"/>
    </xf>
    <xf numFmtId="0" fontId="102" fillId="0" borderId="34" xfId="0" applyFont="1" applyBorder="1" applyAlignment="1">
      <alignment horizontal="center"/>
    </xf>
    <xf numFmtId="0" fontId="5" fillId="0" borderId="42" xfId="0" applyFont="1" applyFill="1" applyBorder="1" applyAlignment="1">
      <alignment horizontal="center" vertical="center" wrapText="1"/>
    </xf>
    <xf numFmtId="0" fontId="5" fillId="0" borderId="42" xfId="0" applyFont="1" applyFill="1" applyBorder="1" applyAlignment="1">
      <alignment horizontal="center" vertical="top"/>
    </xf>
    <xf numFmtId="0" fontId="5" fillId="0" borderId="36" xfId="0" applyFont="1" applyFill="1" applyBorder="1" applyAlignment="1">
      <alignment horizontal="center" vertical="top"/>
    </xf>
    <xf numFmtId="167" fontId="5" fillId="18" borderId="15" xfId="0" applyNumberFormat="1" applyFont="1" applyFill="1" applyBorder="1" applyAlignment="1" applyProtection="1">
      <alignment horizontal="center"/>
      <protection locked="0"/>
    </xf>
    <xf numFmtId="0" fontId="24" fillId="18" borderId="15" xfId="0" applyFont="1" applyFill="1" applyBorder="1" applyAlignment="1" applyProtection="1">
      <alignment horizontal="center"/>
      <protection locked="0"/>
    </xf>
    <xf numFmtId="167" fontId="24" fillId="18" borderId="15" xfId="0" applyNumberFormat="1" applyFont="1" applyFill="1" applyBorder="1" applyProtection="1">
      <protection locked="0"/>
    </xf>
    <xf numFmtId="167" fontId="5" fillId="18" borderId="15" xfId="0" applyNumberFormat="1" applyFont="1" applyFill="1" applyBorder="1" applyAlignment="1" applyProtection="1">
      <alignment horizontal="left"/>
      <protection locked="0"/>
    </xf>
    <xf numFmtId="167" fontId="5" fillId="18" borderId="15" xfId="0" applyNumberFormat="1" applyFont="1" applyFill="1" applyBorder="1" applyProtection="1">
      <protection locked="0"/>
    </xf>
    <xf numFmtId="167" fontId="5" fillId="18" borderId="25" xfId="0" applyNumberFormat="1" applyFont="1" applyFill="1" applyBorder="1" applyProtection="1">
      <protection locked="0"/>
    </xf>
    <xf numFmtId="0" fontId="104" fillId="18" borderId="21" xfId="0" applyFont="1" applyFill="1" applyBorder="1" applyAlignment="1" applyProtection="1">
      <alignment horizontal="center"/>
      <protection locked="0"/>
    </xf>
    <xf numFmtId="0" fontId="5" fillId="18" borderId="15" xfId="0" applyFont="1" applyFill="1" applyBorder="1" applyAlignment="1" applyProtection="1">
      <protection locked="0"/>
    </xf>
    <xf numFmtId="0" fontId="5" fillId="18" borderId="25" xfId="0" applyFont="1" applyFill="1" applyBorder="1" applyAlignment="1" applyProtection="1">
      <protection locked="0"/>
    </xf>
    <xf numFmtId="0" fontId="5" fillId="18" borderId="19" xfId="0" applyFont="1" applyFill="1" applyBorder="1" applyAlignment="1">
      <alignment horizontal="center" wrapText="1"/>
    </xf>
    <xf numFmtId="0" fontId="5" fillId="18" borderId="14" xfId="0" applyFont="1" applyFill="1" applyBorder="1" applyAlignment="1" applyProtection="1">
      <protection locked="0"/>
    </xf>
    <xf numFmtId="0" fontId="33" fillId="18" borderId="47" xfId="0" applyFont="1" applyFill="1" applyBorder="1" applyAlignment="1">
      <alignment horizontal="center" vertical="center"/>
    </xf>
    <xf numFmtId="0" fontId="33" fillId="18" borderId="48" xfId="0" applyFont="1" applyFill="1" applyBorder="1" applyAlignment="1">
      <alignment horizontal="center" vertical="center"/>
    </xf>
    <xf numFmtId="0" fontId="33" fillId="18" borderId="17" xfId="0" applyFont="1" applyFill="1" applyBorder="1" applyAlignment="1">
      <alignment horizontal="center" vertical="center"/>
    </xf>
    <xf numFmtId="0" fontId="33" fillId="18" borderId="18" xfId="0" applyFont="1" applyFill="1" applyBorder="1" applyAlignment="1">
      <alignment horizontal="center" vertical="center"/>
    </xf>
    <xf numFmtId="0" fontId="38" fillId="18" borderId="18" xfId="0" applyFont="1" applyFill="1" applyBorder="1" applyAlignment="1">
      <alignment horizontal="center"/>
    </xf>
    <xf numFmtId="0" fontId="38" fillId="18" borderId="12" xfId="0" applyFont="1" applyFill="1" applyBorder="1" applyAlignment="1">
      <alignment horizontal="center"/>
    </xf>
    <xf numFmtId="0" fontId="38" fillId="18" borderId="0" xfId="0" applyFont="1" applyFill="1" applyBorder="1" applyAlignment="1">
      <alignment horizontal="center"/>
    </xf>
    <xf numFmtId="0" fontId="38" fillId="18" borderId="47" xfId="0" applyFont="1" applyFill="1" applyBorder="1" applyAlignment="1">
      <alignment horizontal="center"/>
    </xf>
    <xf numFmtId="0" fontId="38" fillId="18" borderId="48" xfId="0" applyFont="1" applyFill="1" applyBorder="1" applyAlignment="1">
      <alignment horizontal="center"/>
    </xf>
    <xf numFmtId="0" fontId="8" fillId="18" borderId="0" xfId="0" applyFont="1" applyFill="1" applyAlignment="1">
      <alignment vertical="center"/>
    </xf>
    <xf numFmtId="0" fontId="63" fillId="18" borderId="17" xfId="0" applyFont="1" applyFill="1" applyBorder="1" applyAlignment="1">
      <alignment horizontal="center"/>
    </xf>
    <xf numFmtId="0" fontId="0" fillId="18" borderId="0" xfId="0" applyFill="1" applyBorder="1" applyAlignment="1"/>
    <xf numFmtId="0" fontId="5" fillId="18" borderId="0" xfId="0" applyFont="1" applyFill="1" applyAlignment="1">
      <alignment horizontal="center"/>
    </xf>
    <xf numFmtId="0" fontId="0" fillId="18" borderId="35" xfId="0" applyFill="1" applyBorder="1" applyAlignment="1"/>
    <xf numFmtId="0" fontId="2" fillId="18" borderId="35" xfId="0" applyFont="1" applyFill="1" applyBorder="1" applyAlignment="1">
      <alignment horizontal="center"/>
    </xf>
    <xf numFmtId="0" fontId="0" fillId="18" borderId="15" xfId="0" applyFill="1" applyBorder="1" applyAlignment="1">
      <alignment horizontal="center"/>
    </xf>
    <xf numFmtId="0" fontId="5" fillId="18" borderId="15" xfId="0" applyFont="1" applyFill="1" applyBorder="1" applyAlignment="1" applyProtection="1">
      <alignment vertical="top" wrapText="1"/>
      <protection locked="0"/>
    </xf>
    <xf numFmtId="0" fontId="5" fillId="18" borderId="15" xfId="0" applyFont="1" applyFill="1" applyBorder="1" applyAlignment="1" applyProtection="1">
      <alignment horizontal="center" vertical="top" wrapText="1"/>
      <protection locked="0"/>
    </xf>
    <xf numFmtId="0" fontId="80" fillId="18" borderId="15" xfId="0" applyFont="1" applyFill="1" applyBorder="1" applyAlignment="1" applyProtection="1">
      <alignment horizontal="center" vertical="top" wrapText="1"/>
    </xf>
    <xf numFmtId="0" fontId="81" fillId="18" borderId="15" xfId="0" applyFont="1" applyFill="1" applyBorder="1" applyAlignment="1" applyProtection="1">
      <alignment horizontal="center" vertical="center" wrapText="1"/>
    </xf>
    <xf numFmtId="0" fontId="0" fillId="18" borderId="15" xfId="0" applyFill="1" applyBorder="1" applyAlignment="1">
      <alignment vertical="top" wrapText="1"/>
    </xf>
    <xf numFmtId="0" fontId="5" fillId="18" borderId="15" xfId="0" applyFont="1" applyFill="1" applyBorder="1" applyAlignment="1">
      <alignment horizontal="center" vertical="top" wrapText="1"/>
    </xf>
    <xf numFmtId="0" fontId="0" fillId="18" borderId="15" xfId="0" applyFill="1" applyBorder="1" applyAlignment="1">
      <alignment horizontal="center" vertical="top" wrapText="1"/>
    </xf>
    <xf numFmtId="0" fontId="5" fillId="18" borderId="15" xfId="0" applyFont="1" applyFill="1" applyBorder="1" applyAlignment="1">
      <alignment vertical="top" wrapText="1"/>
    </xf>
    <xf numFmtId="0" fontId="1" fillId="18" borderId="40" xfId="0" applyFont="1" applyFill="1" applyBorder="1"/>
    <xf numFmtId="0" fontId="4" fillId="0" borderId="30" xfId="43" applyBorder="1"/>
    <xf numFmtId="0" fontId="4" fillId="0" borderId="58" xfId="43" applyBorder="1"/>
    <xf numFmtId="0" fontId="4" fillId="0" borderId="0" xfId="43"/>
    <xf numFmtId="0" fontId="4" fillId="0" borderId="12" xfId="43" applyBorder="1"/>
    <xf numFmtId="0" fontId="5" fillId="0" borderId="0" xfId="43" applyFont="1"/>
    <xf numFmtId="0" fontId="4" fillId="0" borderId="29" xfId="43" applyBorder="1"/>
    <xf numFmtId="0" fontId="5" fillId="0" borderId="0" xfId="43" applyFont="1" applyAlignment="1">
      <alignment wrapText="1"/>
    </xf>
    <xf numFmtId="0" fontId="5" fillId="0" borderId="0" xfId="43" applyFont="1" applyAlignment="1">
      <alignment horizontal="center"/>
    </xf>
    <xf numFmtId="166" fontId="4" fillId="26" borderId="0" xfId="43" applyNumberFormat="1" applyFill="1" applyAlignment="1" applyProtection="1">
      <alignment horizontal="center"/>
      <protection locked="0"/>
    </xf>
    <xf numFmtId="0" fontId="6" fillId="0" borderId="0" xfId="43" applyFont="1"/>
    <xf numFmtId="0" fontId="4" fillId="0" borderId="10" xfId="43" applyBorder="1"/>
    <xf numFmtId="0" fontId="4" fillId="0" borderId="10" xfId="43" applyBorder="1" applyAlignment="1">
      <alignment horizontal="right"/>
    </xf>
    <xf numFmtId="0" fontId="4" fillId="0" borderId="10" xfId="43" applyBorder="1" applyProtection="1">
      <protection locked="0"/>
    </xf>
    <xf numFmtId="0" fontId="42" fillId="0" borderId="10" xfId="43" applyFont="1" applyBorder="1"/>
    <xf numFmtId="0" fontId="42" fillId="26" borderId="0" xfId="43" applyFont="1" applyFill="1"/>
    <xf numFmtId="0" fontId="4" fillId="26" borderId="0" xfId="43" applyFill="1"/>
    <xf numFmtId="0" fontId="5" fillId="0" borderId="0" xfId="43" applyFont="1" applyAlignment="1">
      <alignment horizontal="right"/>
    </xf>
    <xf numFmtId="0" fontId="5" fillId="26" borderId="0" xfId="43" applyFont="1" applyFill="1"/>
    <xf numFmtId="0" fontId="4" fillId="0" borderId="0" xfId="43" applyFont="1"/>
    <xf numFmtId="0" fontId="111" fillId="0" borderId="0" xfId="43" applyFont="1" applyAlignment="1">
      <alignment wrapText="1"/>
    </xf>
    <xf numFmtId="0" fontId="4" fillId="0" borderId="0" xfId="43" applyProtection="1">
      <protection locked="0"/>
    </xf>
    <xf numFmtId="0" fontId="35" fillId="0" borderId="10" xfId="43" applyFont="1" applyBorder="1" applyProtection="1">
      <protection locked="0"/>
    </xf>
    <xf numFmtId="0" fontId="18" fillId="0" borderId="10" xfId="34" applyBorder="1" applyAlignment="1">
      <protection locked="0"/>
    </xf>
    <xf numFmtId="0" fontId="5" fillId="0" borderId="10" xfId="43" applyFont="1" applyBorder="1" applyAlignment="1">
      <alignment horizontal="center"/>
    </xf>
    <xf numFmtId="0" fontId="5" fillId="0" borderId="10" xfId="43" applyFont="1" applyBorder="1" applyProtection="1">
      <protection locked="0"/>
    </xf>
    <xf numFmtId="0" fontId="5" fillId="0" borderId="10" xfId="43" applyFont="1" applyBorder="1"/>
    <xf numFmtId="0" fontId="4" fillId="0" borderId="45" xfId="43" applyBorder="1"/>
    <xf numFmtId="0" fontId="36" fillId="0" borderId="10" xfId="43" applyFont="1" applyBorder="1"/>
    <xf numFmtId="0" fontId="36" fillId="0" borderId="0" xfId="43" applyFont="1"/>
    <xf numFmtId="0" fontId="4" fillId="0" borderId="47" xfId="43" applyBorder="1"/>
    <xf numFmtId="0" fontId="4" fillId="0" borderId="49" xfId="43" applyBorder="1"/>
    <xf numFmtId="0" fontId="10" fillId="18" borderId="0" xfId="0" applyFont="1" applyFill="1" applyBorder="1" applyAlignment="1">
      <alignment horizontal="center"/>
    </xf>
    <xf numFmtId="0" fontId="32" fillId="0" borderId="0" xfId="0" applyFont="1" applyBorder="1" applyAlignment="1">
      <alignment horizontal="center"/>
    </xf>
    <xf numFmtId="0" fontId="90" fillId="0" borderId="0" xfId="0" applyFont="1" applyAlignment="1">
      <alignment horizontal="left"/>
    </xf>
    <xf numFmtId="0" fontId="33" fillId="18" borderId="0" xfId="0" applyFont="1" applyFill="1" applyBorder="1" applyAlignment="1">
      <alignment horizontal="center" vertical="center"/>
    </xf>
    <xf numFmtId="0" fontId="0" fillId="18" borderId="23" xfId="0" applyFill="1" applyBorder="1" applyAlignment="1" applyProtection="1">
      <alignment wrapText="1"/>
      <protection locked="0"/>
    </xf>
    <xf numFmtId="0" fontId="0" fillId="18" borderId="25" xfId="0" applyFill="1" applyBorder="1" applyAlignment="1" applyProtection="1">
      <alignment wrapText="1"/>
      <protection locked="0"/>
    </xf>
    <xf numFmtId="0" fontId="15" fillId="18" borderId="40" xfId="0" applyFont="1" applyFill="1" applyBorder="1" applyAlignment="1" applyProtection="1">
      <alignment horizontal="center"/>
      <protection locked="0"/>
    </xf>
    <xf numFmtId="0" fontId="0" fillId="18" borderId="69" xfId="0" applyFill="1" applyBorder="1" applyAlignment="1" applyProtection="1">
      <alignment horizontal="center"/>
      <protection locked="0"/>
    </xf>
    <xf numFmtId="0" fontId="0" fillId="18" borderId="73" xfId="0" applyFill="1" applyBorder="1" applyAlignment="1" applyProtection="1">
      <alignment horizontal="center"/>
      <protection locked="0"/>
    </xf>
    <xf numFmtId="0" fontId="1" fillId="18" borderId="74" xfId="0" applyFont="1" applyFill="1" applyBorder="1" applyAlignment="1" applyProtection="1">
      <alignment horizontal="center"/>
      <protection locked="0"/>
    </xf>
    <xf numFmtId="0" fontId="0" fillId="18" borderId="67" xfId="0" applyFill="1" applyBorder="1" applyAlignment="1" applyProtection="1">
      <alignment horizontal="center"/>
      <protection locked="0"/>
    </xf>
    <xf numFmtId="0" fontId="0" fillId="18" borderId="19" xfId="0" applyFill="1" applyBorder="1" applyAlignment="1" applyProtection="1">
      <alignment vertical="top" wrapText="1"/>
      <protection locked="0"/>
    </xf>
    <xf numFmtId="0" fontId="0" fillId="18" borderId="14" xfId="0" applyFill="1" applyBorder="1" applyAlignment="1" applyProtection="1">
      <alignment wrapText="1"/>
      <protection locked="0"/>
    </xf>
    <xf numFmtId="0" fontId="0" fillId="18" borderId="21" xfId="0" applyFill="1" applyBorder="1" applyAlignment="1" applyProtection="1">
      <alignment wrapText="1"/>
      <protection locked="0"/>
    </xf>
    <xf numFmtId="0" fontId="0" fillId="18" borderId="15" xfId="0" applyFill="1" applyBorder="1" applyAlignment="1" applyProtection="1">
      <alignment wrapText="1"/>
      <protection locked="0"/>
    </xf>
    <xf numFmtId="0" fontId="15" fillId="18" borderId="12" xfId="0" applyFont="1" applyFill="1" applyBorder="1" applyAlignment="1" applyProtection="1">
      <alignment horizontal="left" vertical="top" wrapText="1"/>
      <protection locked="0"/>
    </xf>
    <xf numFmtId="0" fontId="15" fillId="18" borderId="0" xfId="0" applyFont="1" applyFill="1" applyBorder="1" applyAlignment="1" applyProtection="1">
      <alignment horizontal="left" vertical="top" wrapText="1"/>
      <protection locked="0"/>
    </xf>
    <xf numFmtId="0" fontId="15" fillId="18" borderId="29"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29" xfId="0" applyBorder="1" applyAlignment="1">
      <alignment horizontal="left" vertical="top" wrapText="1"/>
    </xf>
    <xf numFmtId="0" fontId="17" fillId="18" borderId="47" xfId="0" applyFont="1" applyFill="1" applyBorder="1" applyAlignment="1" applyProtection="1">
      <alignment horizontal="left" vertical="center" wrapText="1"/>
      <protection locked="0"/>
    </xf>
    <xf numFmtId="0" fontId="0" fillId="18" borderId="48" xfId="0" applyFill="1" applyBorder="1" applyAlignment="1" applyProtection="1">
      <alignment horizontal="left" vertical="center" wrapText="1"/>
      <protection locked="0"/>
    </xf>
    <xf numFmtId="0" fontId="0" fillId="18" borderId="49" xfId="0" applyFill="1" applyBorder="1" applyAlignment="1" applyProtection="1">
      <alignment horizontal="left" vertical="center" wrapText="1"/>
      <protection locked="0"/>
    </xf>
    <xf numFmtId="0" fontId="30" fillId="18" borderId="12" xfId="0" applyFont="1" applyFill="1" applyBorder="1" applyAlignment="1" applyProtection="1">
      <alignment horizontal="left" vertical="top" wrapText="1"/>
      <protection locked="0"/>
    </xf>
    <xf numFmtId="0" fontId="30" fillId="18" borderId="0" xfId="0" applyFont="1" applyFill="1" applyBorder="1" applyAlignment="1" applyProtection="1">
      <alignment horizontal="left" vertical="top" wrapText="1"/>
      <protection locked="0"/>
    </xf>
    <xf numFmtId="0" fontId="30" fillId="18" borderId="29" xfId="0" applyFont="1" applyFill="1" applyBorder="1" applyAlignment="1" applyProtection="1">
      <alignment horizontal="left" vertical="top" wrapText="1"/>
      <protection locked="0"/>
    </xf>
    <xf numFmtId="0" fontId="0" fillId="18" borderId="12" xfId="0" applyFill="1" applyBorder="1" applyAlignment="1" applyProtection="1">
      <alignment horizontal="left" vertical="top" wrapText="1"/>
      <protection locked="0"/>
    </xf>
    <xf numFmtId="0" fontId="0" fillId="18" borderId="0" xfId="0" applyFill="1" applyBorder="1" applyAlignment="1" applyProtection="1">
      <alignment horizontal="left" vertical="top" wrapText="1"/>
      <protection locked="0"/>
    </xf>
    <xf numFmtId="0" fontId="0" fillId="18" borderId="29" xfId="0" applyFill="1" applyBorder="1" applyAlignment="1" applyProtection="1">
      <alignment horizontal="left" vertical="top" wrapText="1"/>
      <protection locked="0"/>
    </xf>
    <xf numFmtId="0" fontId="33" fillId="18" borderId="17" xfId="0" applyFont="1" applyFill="1" applyBorder="1" applyAlignment="1">
      <alignment horizontal="center" vertical="center"/>
    </xf>
    <xf numFmtId="0" fontId="33" fillId="18" borderId="18" xfId="0" applyFont="1" applyFill="1" applyBorder="1" applyAlignment="1">
      <alignment horizontal="center" vertical="center"/>
    </xf>
    <xf numFmtId="0" fontId="33" fillId="18" borderId="44" xfId="0" applyFont="1" applyFill="1" applyBorder="1" applyAlignment="1">
      <alignment horizontal="center" vertical="center"/>
    </xf>
    <xf numFmtId="0" fontId="33" fillId="18" borderId="47" xfId="0" applyFont="1" applyFill="1" applyBorder="1" applyAlignment="1">
      <alignment horizontal="center" vertical="center"/>
    </xf>
    <xf numFmtId="0" fontId="33" fillId="18" borderId="48" xfId="0" applyFont="1" applyFill="1" applyBorder="1" applyAlignment="1">
      <alignment horizontal="center" vertical="center"/>
    </xf>
    <xf numFmtId="0" fontId="33" fillId="18" borderId="49" xfId="0" applyFont="1" applyFill="1" applyBorder="1" applyAlignment="1">
      <alignment horizontal="center" vertical="center"/>
    </xf>
    <xf numFmtId="0" fontId="0" fillId="18" borderId="17" xfId="0" quotePrefix="1" applyFill="1" applyBorder="1" applyAlignment="1" applyProtection="1">
      <alignment horizontal="left" wrapText="1"/>
      <protection locked="0"/>
    </xf>
    <xf numFmtId="0" fontId="0" fillId="18" borderId="18" xfId="0" applyFill="1" applyBorder="1" applyAlignment="1" applyProtection="1">
      <alignment wrapText="1"/>
      <protection locked="0"/>
    </xf>
    <xf numFmtId="0" fontId="0" fillId="18" borderId="44" xfId="0" applyFill="1" applyBorder="1" applyAlignment="1" applyProtection="1">
      <alignment wrapText="1"/>
      <protection locked="0"/>
    </xf>
    <xf numFmtId="0" fontId="1" fillId="0" borderId="63" xfId="0" applyFont="1" applyFill="1" applyBorder="1" applyAlignment="1">
      <alignment wrapText="1"/>
    </xf>
    <xf numFmtId="0" fontId="15" fillId="0" borderId="38" xfId="0" applyFont="1" applyFill="1" applyBorder="1" applyAlignment="1">
      <alignment wrapText="1"/>
    </xf>
    <xf numFmtId="0" fontId="15" fillId="0" borderId="16" xfId="0" applyFont="1" applyFill="1" applyBorder="1" applyAlignment="1">
      <alignment wrapText="1"/>
    </xf>
    <xf numFmtId="0" fontId="15" fillId="0" borderId="34" xfId="0" applyFont="1" applyBorder="1" applyAlignment="1">
      <alignment horizontal="center" vertical="center"/>
    </xf>
    <xf numFmtId="0" fontId="15" fillId="0" borderId="16" xfId="0" applyFont="1" applyBorder="1" applyAlignment="1">
      <alignment horizontal="center" vertical="center"/>
    </xf>
    <xf numFmtId="0" fontId="15" fillId="0" borderId="34" xfId="0" applyFont="1" applyFill="1" applyBorder="1" applyAlignment="1">
      <alignment horizontal="center" vertical="center"/>
    </xf>
    <xf numFmtId="0" fontId="15" fillId="0" borderId="16" xfId="0" applyFont="1" applyFill="1" applyBorder="1" applyAlignment="1">
      <alignment horizontal="center" vertical="center"/>
    </xf>
    <xf numFmtId="0" fontId="1" fillId="26" borderId="63" xfId="0" applyFont="1" applyFill="1" applyBorder="1"/>
    <xf numFmtId="0" fontId="1" fillId="26" borderId="38" xfId="0" applyFont="1" applyFill="1" applyBorder="1"/>
    <xf numFmtId="0" fontId="1" fillId="26" borderId="16" xfId="0" applyFont="1" applyFill="1" applyBorder="1"/>
    <xf numFmtId="0" fontId="1" fillId="0" borderId="34" xfId="0" applyFont="1" applyBorder="1" applyAlignment="1">
      <alignment horizontal="center" vertical="center"/>
    </xf>
    <xf numFmtId="0" fontId="1" fillId="0" borderId="47" xfId="0" applyFont="1" applyBorder="1" applyAlignment="1">
      <alignment horizontal="left" vertical="top" wrapText="1"/>
    </xf>
    <xf numFmtId="0" fontId="15" fillId="0" borderId="48" xfId="0" applyFont="1" applyBorder="1" applyAlignment="1">
      <alignment horizontal="left" vertical="top" wrapText="1"/>
    </xf>
    <xf numFmtId="0" fontId="109" fillId="0" borderId="12" xfId="34" applyFont="1" applyBorder="1" applyAlignment="1" applyProtection="1">
      <alignment horizontal="center"/>
    </xf>
    <xf numFmtId="0" fontId="1" fillId="0" borderId="0" xfId="0" applyFont="1" applyBorder="1" applyAlignment="1">
      <alignment horizontal="center"/>
    </xf>
    <xf numFmtId="0" fontId="1" fillId="25" borderId="17" xfId="0" applyFont="1" applyFill="1" applyBorder="1" applyAlignment="1">
      <alignment horizontal="center" vertical="center" wrapText="1"/>
    </xf>
    <xf numFmtId="0" fontId="1" fillId="25" borderId="18"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25" borderId="29"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1" fillId="25" borderId="49" xfId="0" applyFont="1" applyFill="1" applyBorder="1" applyAlignment="1">
      <alignment horizontal="center" vertical="center" wrapText="1"/>
    </xf>
    <xf numFmtId="0" fontId="1" fillId="0" borderId="63" xfId="0" applyFont="1" applyFill="1" applyBorder="1" applyAlignment="1">
      <alignment horizontal="left"/>
    </xf>
    <xf numFmtId="0" fontId="15" fillId="0" borderId="38" xfId="0" applyFont="1" applyFill="1" applyBorder="1" applyAlignment="1">
      <alignment horizontal="left"/>
    </xf>
    <xf numFmtId="0" fontId="15" fillId="0" borderId="16" xfId="0" applyFont="1" applyFill="1" applyBorder="1" applyAlignment="1">
      <alignment horizontal="left"/>
    </xf>
    <xf numFmtId="0" fontId="15" fillId="25" borderId="57" xfId="0" applyFont="1" applyFill="1" applyBorder="1" applyAlignment="1">
      <alignment horizontal="center"/>
    </xf>
    <xf numFmtId="0" fontId="15" fillId="25" borderId="60" xfId="0" applyFont="1" applyFill="1" applyBorder="1" applyAlignment="1">
      <alignment horizontal="center"/>
    </xf>
    <xf numFmtId="0" fontId="1" fillId="0" borderId="34" xfId="0" applyFont="1" applyFill="1" applyBorder="1" applyAlignment="1">
      <alignment horizontal="center" vertical="center" wrapText="1"/>
    </xf>
    <xf numFmtId="0" fontId="1" fillId="0" borderId="21" xfId="0" applyFont="1" applyFill="1" applyBorder="1" applyAlignment="1"/>
    <xf numFmtId="0" fontId="15" fillId="0" borderId="15" xfId="0" applyFont="1" applyFill="1" applyBorder="1" applyAlignment="1"/>
    <xf numFmtId="0" fontId="1" fillId="26" borderId="21" xfId="0" applyFont="1" applyFill="1" applyBorder="1"/>
    <xf numFmtId="0" fontId="1" fillId="26" borderId="15" xfId="0" applyFont="1" applyFill="1" applyBorder="1"/>
    <xf numFmtId="0" fontId="0" fillId="18" borderId="17" xfId="0" applyFill="1" applyBorder="1" applyAlignment="1"/>
    <xf numFmtId="0" fontId="0" fillId="18" borderId="18" xfId="0" applyFill="1" applyBorder="1" applyAlignment="1"/>
    <xf numFmtId="0" fontId="0" fillId="18" borderId="12" xfId="0" applyFill="1" applyBorder="1" applyAlignment="1"/>
    <xf numFmtId="0" fontId="0" fillId="18" borderId="0" xfId="0" applyFill="1" applyBorder="1" applyAlignment="1"/>
    <xf numFmtId="0" fontId="0" fillId="18" borderId="47" xfId="0" applyFill="1" applyBorder="1" applyAlignment="1"/>
    <xf numFmtId="0" fontId="0" fillId="18" borderId="48" xfId="0" applyFill="1" applyBorder="1" applyAlignment="1"/>
    <xf numFmtId="0" fontId="33" fillId="18" borderId="18" xfId="0" applyFont="1" applyFill="1" applyBorder="1" applyAlignment="1">
      <alignment horizontal="center" wrapText="1"/>
    </xf>
    <xf numFmtId="0" fontId="33" fillId="18" borderId="18" xfId="0" applyFont="1" applyFill="1" applyBorder="1" applyAlignment="1">
      <alignment horizontal="center"/>
    </xf>
    <xf numFmtId="0" fontId="33" fillId="18" borderId="44" xfId="0" applyFont="1" applyFill="1" applyBorder="1" applyAlignment="1">
      <alignment horizontal="center"/>
    </xf>
    <xf numFmtId="0" fontId="33" fillId="18" borderId="0" xfId="0" applyFont="1" applyFill="1" applyBorder="1" applyAlignment="1">
      <alignment horizontal="center"/>
    </xf>
    <xf numFmtId="0" fontId="33" fillId="18" borderId="29" xfId="0" applyFont="1" applyFill="1" applyBorder="1" applyAlignment="1">
      <alignment horizontal="center"/>
    </xf>
    <xf numFmtId="0" fontId="33" fillId="18" borderId="48" xfId="0" applyFont="1" applyFill="1" applyBorder="1" applyAlignment="1">
      <alignment horizontal="center"/>
    </xf>
    <xf numFmtId="0" fontId="33" fillId="18" borderId="49" xfId="0" applyFont="1" applyFill="1" applyBorder="1" applyAlignment="1">
      <alignment horizont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xf>
    <xf numFmtId="0" fontId="6" fillId="0" borderId="44"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29" xfId="0" applyFont="1" applyBorder="1" applyAlignment="1">
      <alignment horizontal="center"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15" fillId="0" borderId="21" xfId="0" applyFont="1" applyFill="1" applyBorder="1" applyAlignment="1">
      <alignment horizontal="left"/>
    </xf>
    <xf numFmtId="0" fontId="15" fillId="0" borderId="15" xfId="0" applyFont="1" applyFill="1" applyBorder="1" applyAlignment="1">
      <alignment horizontal="left"/>
    </xf>
    <xf numFmtId="0" fontId="15" fillId="0" borderId="31" xfId="0" applyFont="1" applyBorder="1" applyAlignment="1">
      <alignment horizontal="center"/>
    </xf>
    <xf numFmtId="0" fontId="15" fillId="0" borderId="28" xfId="0" applyFont="1" applyBorder="1" applyAlignment="1"/>
    <xf numFmtId="0" fontId="15" fillId="0" borderId="57" xfId="0" applyFont="1" applyBorder="1" applyAlignment="1"/>
    <xf numFmtId="0" fontId="15" fillId="0" borderId="72" xfId="0" applyFont="1" applyBorder="1" applyAlignment="1"/>
    <xf numFmtId="0" fontId="1" fillId="25" borderId="40" xfId="0" applyFont="1" applyFill="1" applyBorder="1" applyAlignment="1">
      <alignment horizontal="center"/>
    </xf>
    <xf numFmtId="0" fontId="15" fillId="25" borderId="69" xfId="0" applyFont="1" applyFill="1" applyBorder="1" applyAlignment="1">
      <alignment horizontal="center"/>
    </xf>
    <xf numFmtId="0" fontId="15" fillId="25" borderId="73" xfId="0" applyFont="1" applyFill="1" applyBorder="1" applyAlignment="1">
      <alignment horizontal="center"/>
    </xf>
    <xf numFmtId="0" fontId="15" fillId="25" borderId="31" xfId="0" applyFont="1" applyFill="1" applyBorder="1" applyAlignment="1">
      <alignment horizontal="center"/>
    </xf>
    <xf numFmtId="0" fontId="15" fillId="25" borderId="28" xfId="0" applyFont="1" applyFill="1" applyBorder="1" applyAlignment="1">
      <alignment horizontal="center"/>
    </xf>
    <xf numFmtId="0" fontId="15" fillId="25" borderId="59" xfId="0" applyFont="1" applyFill="1" applyBorder="1" applyAlignment="1">
      <alignment horizontal="center"/>
    </xf>
    <xf numFmtId="0" fontId="1" fillId="26" borderId="21" xfId="0" applyFont="1" applyFill="1" applyBorder="1" applyAlignment="1">
      <alignment vertical="center"/>
    </xf>
    <xf numFmtId="0" fontId="1" fillId="26" borderId="15" xfId="0" applyFont="1" applyFill="1" applyBorder="1" applyAlignment="1">
      <alignment vertical="center"/>
    </xf>
    <xf numFmtId="0" fontId="15" fillId="0" borderId="38" xfId="0" applyFont="1" applyFill="1" applyBorder="1" applyAlignment="1"/>
    <xf numFmtId="0" fontId="15" fillId="0" borderId="16" xfId="0" applyFont="1" applyFill="1" applyBorder="1" applyAlignment="1"/>
    <xf numFmtId="0" fontId="1" fillId="0" borderId="63" xfId="0" applyFont="1" applyFill="1" applyBorder="1" applyAlignment="1"/>
    <xf numFmtId="0" fontId="0" fillId="0" borderId="17" xfId="0" applyFill="1" applyBorder="1" applyAlignment="1">
      <alignment horizontal="left" vertical="top"/>
    </xf>
    <xf numFmtId="0" fontId="0" fillId="0" borderId="18" xfId="0" applyFill="1" applyBorder="1" applyAlignment="1">
      <alignment horizontal="left" vertical="top"/>
    </xf>
    <xf numFmtId="0" fontId="0" fillId="0" borderId="44" xfId="0" applyFill="1" applyBorder="1" applyAlignment="1">
      <alignment horizontal="left" vertical="top"/>
    </xf>
    <xf numFmtId="0" fontId="0" fillId="0" borderId="12" xfId="0" applyFill="1" applyBorder="1" applyAlignment="1">
      <alignment horizontal="left" vertical="top"/>
    </xf>
    <xf numFmtId="0" fontId="0" fillId="0" borderId="0" xfId="0" applyFill="1" applyBorder="1" applyAlignment="1">
      <alignment horizontal="left" vertical="top"/>
    </xf>
    <xf numFmtId="0" fontId="0" fillId="0" borderId="29" xfId="0" applyFill="1" applyBorder="1" applyAlignment="1">
      <alignment horizontal="left" vertical="top"/>
    </xf>
    <xf numFmtId="0" fontId="0" fillId="0" borderId="47" xfId="0" applyFill="1" applyBorder="1" applyAlignment="1">
      <alignment horizontal="left" vertical="top"/>
    </xf>
    <xf numFmtId="0" fontId="0" fillId="0" borderId="48" xfId="0" applyFill="1" applyBorder="1" applyAlignment="1">
      <alignment horizontal="left" vertical="top"/>
    </xf>
    <xf numFmtId="0" fontId="0" fillId="0" borderId="49" xfId="0" applyFill="1" applyBorder="1" applyAlignment="1">
      <alignment horizontal="left" vertical="top"/>
    </xf>
    <xf numFmtId="0" fontId="15" fillId="25" borderId="75" xfId="0" applyFont="1" applyFill="1" applyBorder="1" applyAlignment="1">
      <alignment horizontal="center"/>
    </xf>
    <xf numFmtId="0" fontId="15" fillId="25" borderId="65" xfId="0" applyFont="1" applyFill="1" applyBorder="1" applyAlignment="1">
      <alignment horizontal="center"/>
    </xf>
    <xf numFmtId="0" fontId="15" fillId="25" borderId="51" xfId="0" applyFont="1" applyFill="1" applyBorder="1" applyAlignment="1">
      <alignment horizontal="center"/>
    </xf>
    <xf numFmtId="0" fontId="15" fillId="25" borderId="76" xfId="0" applyFont="1" applyFill="1" applyBorder="1" applyAlignment="1">
      <alignment horizontal="center"/>
    </xf>
    <xf numFmtId="0" fontId="86" fillId="24" borderId="12" xfId="0" applyFont="1" applyFill="1" applyBorder="1" applyAlignment="1">
      <alignment horizontal="center" vertical="center" wrapText="1"/>
    </xf>
    <xf numFmtId="0" fontId="86" fillId="24" borderId="0" xfId="0" applyFont="1" applyFill="1" applyBorder="1" applyAlignment="1">
      <alignment horizontal="center" vertical="center" wrapText="1"/>
    </xf>
    <xf numFmtId="0" fontId="82" fillId="24" borderId="10" xfId="0" applyFont="1" applyFill="1" applyBorder="1" applyAlignment="1">
      <alignment horizontal="center" vertical="center" wrapText="1"/>
    </xf>
    <xf numFmtId="0" fontId="33" fillId="18" borderId="17" xfId="0" applyFont="1" applyFill="1" applyBorder="1" applyAlignment="1">
      <alignment horizontal="center" vertical="center" wrapText="1"/>
    </xf>
    <xf numFmtId="0" fontId="33" fillId="18" borderId="12" xfId="0" applyFont="1" applyFill="1" applyBorder="1" applyAlignment="1">
      <alignment horizontal="center" vertical="center"/>
    </xf>
    <xf numFmtId="0" fontId="33" fillId="18" borderId="29" xfId="0" applyFont="1" applyFill="1" applyBorder="1" applyAlignment="1">
      <alignment horizontal="center" vertical="center"/>
    </xf>
    <xf numFmtId="0" fontId="27" fillId="18" borderId="12" xfId="0" applyFont="1" applyFill="1" applyBorder="1" applyAlignment="1">
      <alignment vertical="top" wrapText="1"/>
    </xf>
    <xf numFmtId="0" fontId="27" fillId="18" borderId="0" xfId="0" applyFont="1" applyFill="1" applyBorder="1" applyAlignment="1">
      <alignment vertical="top" wrapText="1"/>
    </xf>
    <xf numFmtId="0" fontId="27" fillId="18" borderId="29" xfId="0" applyFont="1" applyFill="1" applyBorder="1" applyAlignment="1">
      <alignment vertical="top" wrapText="1"/>
    </xf>
    <xf numFmtId="0" fontId="10" fillId="18" borderId="17" xfId="0" applyFont="1" applyFill="1" applyBorder="1" applyAlignment="1">
      <alignment horizontal="left" wrapText="1"/>
    </xf>
    <xf numFmtId="0" fontId="10" fillId="18" borderId="18" xfId="0" applyFont="1" applyFill="1" applyBorder="1" applyAlignment="1">
      <alignment horizontal="left" wrapText="1"/>
    </xf>
    <xf numFmtId="0" fontId="10" fillId="18" borderId="44" xfId="0" applyFont="1" applyFill="1" applyBorder="1" applyAlignment="1">
      <alignment horizontal="left" wrapText="1"/>
    </xf>
    <xf numFmtId="0" fontId="10" fillId="18" borderId="12" xfId="0" applyFont="1" applyFill="1" applyBorder="1" applyAlignment="1">
      <alignment horizontal="left" wrapText="1"/>
    </xf>
    <xf numFmtId="0" fontId="10" fillId="18" borderId="0" xfId="0" applyFont="1" applyFill="1" applyBorder="1" applyAlignment="1">
      <alignment horizontal="left" wrapText="1"/>
    </xf>
    <xf numFmtId="0" fontId="10" fillId="18" borderId="29" xfId="0" applyFont="1" applyFill="1" applyBorder="1" applyAlignment="1">
      <alignment horizontal="left" wrapText="1"/>
    </xf>
    <xf numFmtId="0" fontId="84" fillId="24" borderId="17" xfId="0" applyFont="1" applyFill="1" applyBorder="1" applyAlignment="1">
      <alignment horizontal="center" vertical="top" wrapText="1"/>
    </xf>
    <xf numFmtId="0" fontId="84" fillId="24" borderId="18" xfId="0" applyFont="1" applyFill="1" applyBorder="1" applyAlignment="1">
      <alignment horizontal="center" vertical="top" wrapText="1"/>
    </xf>
    <xf numFmtId="0" fontId="84" fillId="24" borderId="44" xfId="0" applyFont="1" applyFill="1" applyBorder="1" applyAlignment="1">
      <alignment horizontal="center" vertical="top" wrapText="1"/>
    </xf>
    <xf numFmtId="0" fontId="83" fillId="24" borderId="12" xfId="0" applyFont="1" applyFill="1" applyBorder="1" applyAlignment="1">
      <alignment horizontal="center" vertical="top" wrapText="1"/>
    </xf>
    <xf numFmtId="0" fontId="83" fillId="24" borderId="0" xfId="0" applyFont="1" applyFill="1" applyBorder="1" applyAlignment="1">
      <alignment horizontal="center" vertical="top" wrapText="1"/>
    </xf>
    <xf numFmtId="0" fontId="83" fillId="24" borderId="29" xfId="0" applyFont="1" applyFill="1" applyBorder="1" applyAlignment="1">
      <alignment horizontal="center" vertical="top" wrapText="1"/>
    </xf>
    <xf numFmtId="0" fontId="5" fillId="0" borderId="10" xfId="43" applyFont="1" applyBorder="1" applyAlignment="1" applyProtection="1">
      <alignment horizontal="center"/>
      <protection locked="0"/>
    </xf>
    <xf numFmtId="0" fontId="5" fillId="0" borderId="11" xfId="43" applyFont="1" applyBorder="1" applyAlignment="1">
      <alignment horizontal="center" wrapText="1"/>
    </xf>
    <xf numFmtId="0" fontId="5" fillId="0" borderId="11" xfId="43" applyFont="1" applyBorder="1" applyAlignment="1">
      <alignment horizontal="center"/>
    </xf>
    <xf numFmtId="0" fontId="4" fillId="0" borderId="10" xfId="43" applyBorder="1" applyAlignment="1" applyProtection="1">
      <alignment horizontal="center"/>
      <protection locked="0"/>
    </xf>
    <xf numFmtId="0" fontId="20" fillId="0" borderId="48" xfId="43" applyFont="1" applyBorder="1" applyAlignment="1">
      <alignment horizontal="left" vertical="top" wrapText="1"/>
    </xf>
    <xf numFmtId="0" fontId="5" fillId="0" borderId="48" xfId="43" applyFont="1" applyBorder="1" applyAlignment="1">
      <alignment horizontal="left" vertical="top" wrapText="1"/>
    </xf>
    <xf numFmtId="0" fontId="5" fillId="0" borderId="0" xfId="43" applyFont="1" applyAlignment="1">
      <alignment horizontal="left" vertical="top" wrapText="1"/>
    </xf>
    <xf numFmtId="0" fontId="5" fillId="0" borderId="0" xfId="43" applyFont="1" applyAlignment="1">
      <alignment wrapText="1"/>
    </xf>
    <xf numFmtId="15" fontId="4" fillId="0" borderId="10" xfId="43" applyNumberFormat="1" applyBorder="1" applyAlignment="1" applyProtection="1">
      <alignment horizontal="center"/>
      <protection locked="0"/>
    </xf>
    <xf numFmtId="0" fontId="5" fillId="0" borderId="0" xfId="43" applyFont="1" applyAlignment="1">
      <alignment horizontal="center"/>
    </xf>
    <xf numFmtId="0" fontId="12" fillId="0" borderId="10" xfId="43" applyFont="1" applyBorder="1" applyAlignment="1" applyProtection="1">
      <alignment horizontal="center"/>
      <protection locked="0"/>
    </xf>
    <xf numFmtId="0" fontId="5" fillId="0" borderId="10" xfId="43" applyFont="1" applyBorder="1" applyAlignment="1">
      <alignment horizontal="center"/>
    </xf>
    <xf numFmtId="0" fontId="5" fillId="26" borderId="0" xfId="43" applyFont="1" applyFill="1" applyAlignment="1">
      <alignment horizontal="center"/>
    </xf>
    <xf numFmtId="0" fontId="42" fillId="0" borderId="10" xfId="43" applyFont="1" applyBorder="1" applyAlignment="1">
      <alignment horizontal="left"/>
    </xf>
    <xf numFmtId="0" fontId="42" fillId="0" borderId="10" xfId="43" applyFont="1" applyBorder="1" applyAlignment="1">
      <alignment horizontal="center"/>
    </xf>
    <xf numFmtId="0" fontId="7" fillId="0" borderId="58" xfId="43" applyFont="1" applyBorder="1" applyAlignment="1">
      <alignment horizontal="center" wrapText="1"/>
    </xf>
    <xf numFmtId="0" fontId="4" fillId="0" borderId="58" xfId="43" applyBorder="1" applyAlignment="1">
      <alignment horizontal="center"/>
    </xf>
    <xf numFmtId="0" fontId="4" fillId="0" borderId="60" xfId="43" applyBorder="1" applyAlignment="1">
      <alignment horizontal="center"/>
    </xf>
    <xf numFmtId="0" fontId="4" fillId="0" borderId="10" xfId="43" applyBorder="1" applyAlignment="1">
      <alignment horizontal="center"/>
    </xf>
    <xf numFmtId="15" fontId="42" fillId="0" borderId="10" xfId="43" applyNumberFormat="1" applyFont="1" applyBorder="1" applyAlignment="1">
      <alignment horizontal="center"/>
    </xf>
    <xf numFmtId="0" fontId="0" fillId="18" borderId="40" xfId="0" applyFill="1" applyBorder="1" applyAlignment="1">
      <alignment horizontal="left"/>
    </xf>
    <xf numFmtId="0" fontId="0" fillId="18" borderId="69" xfId="0" applyFill="1" applyBorder="1" applyAlignment="1">
      <alignment horizontal="left"/>
    </xf>
    <xf numFmtId="0" fontId="0" fillId="18" borderId="73" xfId="0" applyFill="1" applyBorder="1" applyAlignment="1">
      <alignment horizontal="left"/>
    </xf>
    <xf numFmtId="0" fontId="5" fillId="0" borderId="75"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65" xfId="0" quotePrefix="1" applyFont="1" applyFill="1" applyBorder="1" applyAlignment="1">
      <alignment horizontal="center" vertical="center" wrapText="1"/>
    </xf>
    <xf numFmtId="0" fontId="5" fillId="0" borderId="79" xfId="0" quotePrefix="1" applyFont="1" applyFill="1" applyBorder="1" applyAlignment="1">
      <alignment horizontal="center" vertical="center" wrapText="1"/>
    </xf>
    <xf numFmtId="0" fontId="12" fillId="18" borderId="28" xfId="0" applyFont="1" applyFill="1" applyBorder="1" applyAlignment="1">
      <alignment horizontal="center"/>
    </xf>
    <xf numFmtId="0" fontId="12" fillId="18" borderId="25" xfId="0" applyFont="1" applyFill="1" applyBorder="1" applyAlignment="1">
      <alignment horizontal="center"/>
    </xf>
    <xf numFmtId="0" fontId="5" fillId="18" borderId="34" xfId="0" applyFont="1" applyFill="1" applyBorder="1" applyAlignment="1" applyProtection="1">
      <alignment horizontal="left"/>
      <protection locked="0"/>
    </xf>
    <xf numFmtId="0" fontId="5" fillId="18" borderId="16" xfId="0" applyFont="1" applyFill="1" applyBorder="1" applyAlignment="1" applyProtection="1">
      <alignment horizontal="left"/>
      <protection locked="0"/>
    </xf>
    <xf numFmtId="0" fontId="5" fillId="18" borderId="77" xfId="0" applyFont="1" applyFill="1" applyBorder="1" applyAlignment="1" applyProtection="1">
      <alignment horizontal="left"/>
      <protection locked="0"/>
    </xf>
    <xf numFmtId="0" fontId="5" fillId="18" borderId="26" xfId="0" applyFont="1" applyFill="1" applyBorder="1" applyAlignment="1" applyProtection="1">
      <alignment horizontal="left"/>
      <protection locked="0"/>
    </xf>
    <xf numFmtId="0" fontId="12" fillId="18" borderId="25" xfId="0" applyFont="1" applyFill="1" applyBorder="1" applyAlignment="1">
      <alignment horizontal="left"/>
    </xf>
    <xf numFmtId="0" fontId="12" fillId="18" borderId="27" xfId="0" applyFont="1" applyFill="1" applyBorder="1" applyAlignment="1">
      <alignment horizontal="left"/>
    </xf>
    <xf numFmtId="0" fontId="12" fillId="18" borderId="28" xfId="0" applyFont="1" applyFill="1" applyBorder="1" applyAlignment="1">
      <alignment horizontal="left"/>
    </xf>
    <xf numFmtId="0" fontId="12" fillId="18" borderId="72" xfId="0" applyFont="1" applyFill="1" applyBorder="1" applyAlignment="1">
      <alignment horizontal="left"/>
    </xf>
    <xf numFmtId="0" fontId="0" fillId="18" borderId="28" xfId="0" applyFill="1" applyBorder="1" applyAlignment="1">
      <alignment horizontal="center" vertical="top"/>
    </xf>
    <xf numFmtId="0" fontId="0" fillId="18" borderId="57" xfId="0" applyFill="1" applyBorder="1" applyAlignment="1">
      <alignment horizontal="center" vertical="top"/>
    </xf>
    <xf numFmtId="0" fontId="5" fillId="18" borderId="25" xfId="0" applyFont="1" applyFill="1" applyBorder="1" applyAlignment="1">
      <alignment horizontal="left" vertical="top"/>
    </xf>
    <xf numFmtId="0" fontId="5" fillId="18" borderId="77" xfId="0" quotePrefix="1" applyFont="1" applyFill="1" applyBorder="1" applyAlignment="1">
      <alignment horizontal="center"/>
    </xf>
    <xf numFmtId="0" fontId="5" fillId="18" borderId="66" xfId="0" quotePrefix="1" applyFont="1" applyFill="1" applyBorder="1" applyAlignment="1">
      <alignment horizontal="center"/>
    </xf>
    <xf numFmtId="0" fontId="23" fillId="18" borderId="34" xfId="0" applyFont="1" applyFill="1" applyBorder="1" applyAlignment="1" applyProtection="1">
      <alignment horizontal="left"/>
      <protection locked="0"/>
    </xf>
    <xf numFmtId="0" fontId="23" fillId="18" borderId="16" xfId="0" applyFont="1" applyFill="1" applyBorder="1" applyAlignment="1" applyProtection="1">
      <alignment horizontal="left"/>
      <protection locked="0"/>
    </xf>
    <xf numFmtId="0" fontId="12" fillId="18" borderId="28" xfId="0" quotePrefix="1" applyFont="1" applyFill="1" applyBorder="1" applyAlignment="1" applyProtection="1">
      <alignment horizontal="left"/>
      <protection locked="0"/>
    </xf>
    <xf numFmtId="0" fontId="12" fillId="18" borderId="72" xfId="0" quotePrefix="1" applyFont="1" applyFill="1" applyBorder="1" applyAlignment="1" applyProtection="1">
      <alignment horizontal="left"/>
      <protection locked="0"/>
    </xf>
    <xf numFmtId="0" fontId="5" fillId="18" borderId="31" xfId="0" applyFont="1" applyFill="1" applyBorder="1" applyAlignment="1">
      <alignment horizontal="left" vertical="top"/>
    </xf>
    <xf numFmtId="0" fontId="5" fillId="18" borderId="28" xfId="0" applyFont="1" applyFill="1" applyBorder="1" applyAlignment="1">
      <alignment horizontal="left" vertical="top"/>
    </xf>
    <xf numFmtId="0" fontId="5" fillId="0" borderId="76" xfId="0" quotePrefix="1" applyFont="1" applyFill="1" applyBorder="1" applyAlignment="1">
      <alignment horizontal="center" vertical="center" wrapText="1"/>
    </xf>
    <xf numFmtId="0" fontId="5" fillId="0" borderId="80" xfId="0" quotePrefix="1" applyFont="1" applyFill="1" applyBorder="1" applyAlignment="1">
      <alignment horizontal="center" vertical="center" wrapText="1"/>
    </xf>
    <xf numFmtId="0" fontId="5" fillId="18" borderId="33" xfId="0" applyFont="1" applyFill="1" applyBorder="1" applyAlignment="1" applyProtection="1">
      <alignment horizontal="center"/>
      <protection locked="0"/>
    </xf>
    <xf numFmtId="0" fontId="5" fillId="18" borderId="13" xfId="0" applyFont="1" applyFill="1" applyBorder="1" applyAlignment="1" applyProtection="1">
      <alignment horizontal="center"/>
      <protection locked="0"/>
    </xf>
    <xf numFmtId="0" fontId="5" fillId="0" borderId="28" xfId="0" applyFont="1" applyFill="1" applyBorder="1" applyAlignment="1">
      <alignment horizontal="center" vertical="center" wrapText="1"/>
    </xf>
    <xf numFmtId="0" fontId="5" fillId="18" borderId="81" xfId="0" quotePrefix="1" applyFont="1" applyFill="1" applyBorder="1" applyAlignment="1">
      <alignment horizontal="center"/>
    </xf>
    <xf numFmtId="0" fontId="5" fillId="18" borderId="26" xfId="0" quotePrefix="1" applyFont="1" applyFill="1" applyBorder="1" applyAlignment="1">
      <alignment horizontal="center"/>
    </xf>
    <xf numFmtId="0" fontId="0" fillId="18" borderId="33" xfId="0" applyFill="1" applyBorder="1" applyAlignment="1">
      <alignment horizontal="left"/>
    </xf>
    <xf numFmtId="0" fontId="0" fillId="18" borderId="10" xfId="0" applyFill="1" applyBorder="1" applyAlignment="1">
      <alignment horizontal="left"/>
    </xf>
    <xf numFmtId="0" fontId="0" fillId="18" borderId="10" xfId="0" applyFill="1" applyBorder="1" applyAlignment="1" applyProtection="1">
      <alignment horizontal="left"/>
      <protection locked="0"/>
    </xf>
    <xf numFmtId="14" fontId="0" fillId="18" borderId="10" xfId="0" applyNumberFormat="1" applyFill="1" applyBorder="1" applyAlignment="1" applyProtection="1">
      <alignment horizontal="left"/>
      <protection locked="0"/>
    </xf>
    <xf numFmtId="0" fontId="0" fillId="18" borderId="13" xfId="0" applyFill="1" applyBorder="1" applyAlignment="1" applyProtection="1">
      <alignment horizontal="left"/>
      <protection locked="0"/>
    </xf>
    <xf numFmtId="0" fontId="25" fillId="18" borderId="41" xfId="0" applyFont="1" applyFill="1" applyBorder="1" applyAlignment="1">
      <alignment horizontal="left"/>
    </xf>
    <xf numFmtId="0" fontId="25" fillId="18" borderId="11" xfId="0" applyFont="1" applyFill="1" applyBorder="1" applyAlignment="1">
      <alignment horizontal="left"/>
    </xf>
    <xf numFmtId="0" fontId="22" fillId="18" borderId="11" xfId="0" applyFont="1" applyFill="1" applyBorder="1" applyAlignment="1">
      <alignment horizontal="left"/>
    </xf>
    <xf numFmtId="0" fontId="22" fillId="18" borderId="36" xfId="0" applyFont="1" applyFill="1" applyBorder="1" applyAlignment="1">
      <alignment horizontal="left"/>
    </xf>
    <xf numFmtId="0" fontId="0" fillId="18" borderId="47" xfId="0" applyFill="1" applyBorder="1" applyAlignment="1">
      <alignment horizontal="left"/>
    </xf>
    <xf numFmtId="0" fontId="0" fillId="18" borderId="48" xfId="0" applyFill="1" applyBorder="1" applyAlignment="1">
      <alignment horizontal="left"/>
    </xf>
    <xf numFmtId="0" fontId="0" fillId="18" borderId="49" xfId="0" applyFill="1" applyBorder="1" applyAlignment="1">
      <alignment horizontal="left"/>
    </xf>
    <xf numFmtId="0" fontId="5" fillId="0" borderId="71" xfId="0" applyFont="1" applyFill="1" applyBorder="1" applyAlignment="1">
      <alignment horizontal="center" vertical="center" wrapText="1"/>
    </xf>
    <xf numFmtId="0" fontId="5" fillId="0" borderId="57" xfId="0" quotePrefix="1"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3" xfId="0" quotePrefix="1" applyFont="1" applyFill="1" applyBorder="1" applyAlignment="1">
      <alignment horizontal="center" vertical="center" wrapText="1"/>
    </xf>
    <xf numFmtId="0" fontId="5" fillId="18" borderId="15" xfId="0" applyFont="1" applyFill="1" applyBorder="1" applyAlignment="1" applyProtection="1">
      <alignment horizontal="left"/>
      <protection locked="0"/>
    </xf>
    <xf numFmtId="0" fontId="5" fillId="18" borderId="15" xfId="0" applyFont="1" applyFill="1" applyBorder="1" applyAlignment="1" applyProtection="1">
      <protection locked="0"/>
    </xf>
    <xf numFmtId="0" fontId="36" fillId="18" borderId="34" xfId="0" applyFont="1" applyFill="1" applyBorder="1" applyAlignment="1" applyProtection="1">
      <alignment wrapText="1"/>
      <protection locked="0"/>
    </xf>
    <xf numFmtId="0" fontId="36" fillId="18" borderId="16" xfId="0" applyFont="1" applyFill="1" applyBorder="1" applyAlignment="1" applyProtection="1">
      <alignment wrapText="1"/>
      <protection locked="0"/>
    </xf>
    <xf numFmtId="0" fontId="101" fillId="18" borderId="63" xfId="0" applyFont="1" applyFill="1" applyBorder="1" applyAlignment="1" applyProtection="1">
      <alignment horizontal="left" vertical="center" wrapText="1"/>
      <protection locked="0"/>
    </xf>
    <xf numFmtId="0" fontId="101" fillId="18" borderId="38" xfId="0" applyFont="1" applyFill="1" applyBorder="1" applyAlignment="1" applyProtection="1">
      <alignment horizontal="left" vertical="center" wrapText="1"/>
      <protection locked="0"/>
    </xf>
    <xf numFmtId="0" fontId="101" fillId="18" borderId="64" xfId="0" applyFont="1" applyFill="1" applyBorder="1" applyAlignment="1" applyProtection="1">
      <alignment horizontal="left" vertical="center" wrapText="1"/>
      <protection locked="0"/>
    </xf>
    <xf numFmtId="0" fontId="5" fillId="18" borderId="25" xfId="0" applyFont="1" applyFill="1" applyBorder="1" applyAlignment="1" applyProtection="1">
      <alignment horizontal="left"/>
      <protection locked="0"/>
    </xf>
    <xf numFmtId="0" fontId="81" fillId="18" borderId="15" xfId="0" applyFont="1" applyFill="1" applyBorder="1" applyAlignment="1" applyProtection="1">
      <protection locked="0"/>
    </xf>
    <xf numFmtId="0" fontId="36" fillId="18" borderId="15" xfId="0" applyFont="1" applyFill="1" applyBorder="1" applyAlignment="1" applyProtection="1">
      <alignment wrapText="1"/>
      <protection locked="0"/>
    </xf>
    <xf numFmtId="0" fontId="5" fillId="0" borderId="82" xfId="0" quotePrefix="1" applyFont="1" applyFill="1" applyBorder="1" applyAlignment="1">
      <alignment horizontal="center" vertical="center" wrapText="1"/>
    </xf>
    <xf numFmtId="0" fontId="101" fillId="18" borderId="30" xfId="0" applyFont="1" applyFill="1" applyBorder="1" applyAlignment="1" applyProtection="1">
      <alignment horizontal="left" vertical="center" wrapText="1"/>
      <protection locked="0"/>
    </xf>
    <xf numFmtId="0" fontId="101" fillId="18" borderId="58" xfId="0" applyFont="1" applyFill="1" applyBorder="1" applyAlignment="1" applyProtection="1">
      <alignment horizontal="left" vertical="center" wrapText="1"/>
      <protection locked="0"/>
    </xf>
    <xf numFmtId="0" fontId="101" fillId="18" borderId="60" xfId="0" applyFont="1" applyFill="1" applyBorder="1" applyAlignment="1" applyProtection="1">
      <alignment horizontal="left" vertical="center" wrapText="1"/>
      <protection locked="0"/>
    </xf>
    <xf numFmtId="0" fontId="5" fillId="18" borderId="15" xfId="0" applyFont="1" applyFill="1" applyBorder="1" applyAlignment="1" applyProtection="1">
      <alignment horizontal="center"/>
      <protection locked="0"/>
    </xf>
    <xf numFmtId="0" fontId="5" fillId="0" borderId="25" xfId="0" applyFont="1" applyFill="1" applyBorder="1" applyAlignment="1">
      <alignment horizontal="center" vertical="center" wrapText="1"/>
    </xf>
    <xf numFmtId="0" fontId="5" fillId="18" borderId="14" xfId="0" applyFont="1" applyFill="1" applyBorder="1" applyAlignment="1" applyProtection="1">
      <alignment horizontal="center"/>
      <protection locked="0"/>
    </xf>
    <xf numFmtId="0" fontId="5" fillId="18" borderId="25" xfId="0" applyFont="1" applyFill="1" applyBorder="1" applyAlignment="1" applyProtection="1">
      <alignment horizontal="center"/>
      <protection locked="0"/>
    </xf>
    <xf numFmtId="0" fontId="5" fillId="0" borderId="72" xfId="0" quotePrefix="1" applyFont="1" applyFill="1" applyBorder="1" applyAlignment="1">
      <alignment horizontal="center" vertical="center" wrapText="1"/>
    </xf>
    <xf numFmtId="0" fontId="5" fillId="0" borderId="27" xfId="0" quotePrefix="1"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5" xfId="0" quotePrefix="1" applyFont="1" applyFill="1" applyBorder="1" applyAlignment="1">
      <alignment horizontal="center" vertical="center" wrapText="1"/>
    </xf>
    <xf numFmtId="0" fontId="0" fillId="18" borderId="33" xfId="0" applyFill="1" applyBorder="1" applyAlignment="1" applyProtection="1">
      <alignment horizontal="center"/>
      <protection locked="0"/>
    </xf>
    <xf numFmtId="0" fontId="0" fillId="18" borderId="13" xfId="0" applyFill="1" applyBorder="1" applyAlignment="1" applyProtection="1">
      <alignment horizontal="center"/>
      <protection locked="0"/>
    </xf>
    <xf numFmtId="0" fontId="0" fillId="18" borderId="10" xfId="0" applyFill="1" applyBorder="1" applyAlignment="1" applyProtection="1">
      <alignment horizontal="center"/>
      <protection locked="0"/>
    </xf>
    <xf numFmtId="0" fontId="0" fillId="18" borderId="46" xfId="0" applyFill="1" applyBorder="1" applyAlignment="1" applyProtection="1">
      <alignment horizontal="center"/>
      <protection locked="0"/>
    </xf>
    <xf numFmtId="0" fontId="33" fillId="18" borderId="17" xfId="0" applyFont="1" applyFill="1" applyBorder="1" applyAlignment="1">
      <alignment horizontal="center" wrapText="1"/>
    </xf>
    <xf numFmtId="0" fontId="0" fillId="18" borderId="44" xfId="0" applyFill="1" applyBorder="1" applyAlignment="1"/>
    <xf numFmtId="0" fontId="0" fillId="18" borderId="29" xfId="0" applyFill="1" applyBorder="1" applyAlignment="1"/>
    <xf numFmtId="0" fontId="0" fillId="18" borderId="49" xfId="0" applyFill="1" applyBorder="1" applyAlignment="1"/>
    <xf numFmtId="0" fontId="0" fillId="18" borderId="39" xfId="0" applyFill="1" applyBorder="1" applyAlignment="1" applyProtection="1">
      <alignment horizontal="center"/>
      <protection locked="0"/>
    </xf>
    <xf numFmtId="0" fontId="0" fillId="18" borderId="49" xfId="0" applyFill="1" applyBorder="1" applyAlignment="1" applyProtection="1">
      <alignment horizontal="center"/>
      <protection locked="0"/>
    </xf>
    <xf numFmtId="0" fontId="5" fillId="18" borderId="51" xfId="0" applyFont="1" applyFill="1" applyBorder="1" applyAlignment="1">
      <alignment horizontal="center"/>
    </xf>
    <xf numFmtId="0" fontId="5" fillId="18" borderId="44" xfId="0" applyFont="1" applyFill="1" applyBorder="1" applyAlignment="1">
      <alignment horizontal="center"/>
    </xf>
    <xf numFmtId="0" fontId="5" fillId="18" borderId="41"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5" fillId="18" borderId="62" xfId="0" applyFont="1" applyFill="1" applyBorder="1" applyAlignment="1">
      <alignment horizontal="center" vertical="center" wrapText="1"/>
    </xf>
    <xf numFmtId="0" fontId="5" fillId="18" borderId="33"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5" fillId="18" borderId="46" xfId="0" applyFont="1" applyFill="1" applyBorder="1" applyAlignment="1">
      <alignment horizontal="center" vertical="center" wrapText="1"/>
    </xf>
    <xf numFmtId="0" fontId="102" fillId="18" borderId="10" xfId="0" applyFont="1" applyFill="1" applyBorder="1" applyAlignment="1">
      <alignment horizontal="left"/>
    </xf>
    <xf numFmtId="0" fontId="33" fillId="18" borderId="12" xfId="0" applyFont="1" applyFill="1" applyBorder="1" applyAlignment="1">
      <alignment horizontal="center"/>
    </xf>
    <xf numFmtId="0" fontId="33" fillId="18" borderId="47" xfId="0" applyFont="1" applyFill="1" applyBorder="1" applyAlignment="1">
      <alignment horizontal="center"/>
    </xf>
    <xf numFmtId="0" fontId="5" fillId="18" borderId="42" xfId="0" applyFont="1" applyFill="1" applyBorder="1" applyAlignment="1">
      <alignment horizontal="center" vertical="center" wrapText="1"/>
    </xf>
    <xf numFmtId="0" fontId="5" fillId="18" borderId="43" xfId="0" applyFont="1" applyFill="1" applyBorder="1" applyAlignment="1">
      <alignment horizontal="center" vertical="center" wrapText="1"/>
    </xf>
    <xf numFmtId="0" fontId="5" fillId="18" borderId="14" xfId="0" applyFont="1" applyFill="1" applyBorder="1" applyAlignment="1">
      <alignment horizontal="center" vertical="center" wrapText="1"/>
    </xf>
    <xf numFmtId="0" fontId="0" fillId="18" borderId="0" xfId="0" applyFill="1" applyBorder="1" applyAlignment="1">
      <alignment horizontal="center"/>
    </xf>
    <xf numFmtId="0" fontId="0" fillId="18" borderId="10" xfId="0" applyFill="1" applyBorder="1" applyAlignment="1">
      <alignment horizontal="center"/>
    </xf>
    <xf numFmtId="0" fontId="5" fillId="18" borderId="41" xfId="0" applyFont="1" applyFill="1" applyBorder="1" applyAlignment="1">
      <alignment horizontal="center" vertical="center"/>
    </xf>
    <xf numFmtId="0" fontId="5" fillId="18" borderId="11" xfId="0" applyFont="1" applyFill="1" applyBorder="1" applyAlignment="1">
      <alignment horizontal="center" vertical="center"/>
    </xf>
    <xf numFmtId="0" fontId="5" fillId="18" borderId="36" xfId="0" applyFont="1" applyFill="1" applyBorder="1" applyAlignment="1">
      <alignment horizontal="center" vertical="center"/>
    </xf>
    <xf numFmtId="0" fontId="5" fillId="18" borderId="33" xfId="0" applyFont="1" applyFill="1" applyBorder="1" applyAlignment="1">
      <alignment horizontal="center" vertical="center"/>
    </xf>
    <xf numFmtId="0" fontId="5" fillId="18" borderId="10" xfId="0" applyFont="1" applyFill="1" applyBorder="1" applyAlignment="1">
      <alignment horizontal="center" vertical="center"/>
    </xf>
    <xf numFmtId="0" fontId="5" fillId="18" borderId="13" xfId="0" applyFont="1" applyFill="1" applyBorder="1" applyAlignment="1">
      <alignment horizontal="center" vertical="center"/>
    </xf>
    <xf numFmtId="0" fontId="102" fillId="18" borderId="10" xfId="0" applyFont="1" applyFill="1" applyBorder="1" applyAlignment="1">
      <alignment horizontal="center"/>
    </xf>
    <xf numFmtId="0" fontId="0" fillId="18" borderId="0" xfId="0" applyFill="1" applyAlignment="1">
      <alignment horizontal="right"/>
    </xf>
    <xf numFmtId="0" fontId="0" fillId="18" borderId="0" xfId="0" applyFill="1" applyBorder="1" applyAlignment="1">
      <alignment horizontal="right"/>
    </xf>
    <xf numFmtId="167" fontId="0" fillId="18" borderId="0" xfId="0" applyNumberFormat="1" applyFill="1" applyAlignment="1">
      <alignment horizontal="center"/>
    </xf>
    <xf numFmtId="0" fontId="0" fillId="18" borderId="0" xfId="0" applyFill="1" applyAlignment="1">
      <alignment horizontal="center" wrapText="1"/>
    </xf>
    <xf numFmtId="0" fontId="0" fillId="18" borderId="35" xfId="0" applyFill="1" applyBorder="1" applyAlignment="1" applyProtection="1">
      <alignment wrapText="1"/>
      <protection locked="0"/>
    </xf>
    <xf numFmtId="0" fontId="0" fillId="18" borderId="0" xfId="0" applyFill="1" applyAlignment="1">
      <alignment wrapText="1"/>
    </xf>
    <xf numFmtId="0" fontId="0" fillId="18" borderId="37" xfId="0" applyFill="1" applyBorder="1" applyAlignment="1">
      <alignment wrapText="1"/>
    </xf>
    <xf numFmtId="0" fontId="0" fillId="18" borderId="0" xfId="0" applyFill="1" applyAlignment="1">
      <alignment horizontal="center"/>
    </xf>
    <xf numFmtId="0" fontId="33" fillId="0" borderId="18" xfId="0" applyFont="1" applyBorder="1" applyAlignment="1">
      <alignment horizontal="center" vertical="center" wrapText="1"/>
    </xf>
    <xf numFmtId="0" fontId="33" fillId="0" borderId="18" xfId="0" applyFont="1" applyBorder="1" applyAlignment="1">
      <alignment horizontal="center" vertical="center"/>
    </xf>
    <xf numFmtId="0" fontId="33" fillId="0" borderId="44" xfId="0" applyFont="1" applyBorder="1" applyAlignment="1">
      <alignment horizontal="center" vertical="center"/>
    </xf>
    <xf numFmtId="0" fontId="33" fillId="0" borderId="0" xfId="0" applyFont="1" applyBorder="1" applyAlignment="1">
      <alignment horizontal="center" vertical="center"/>
    </xf>
    <xf numFmtId="0" fontId="33" fillId="0" borderId="29" xfId="0" applyFont="1" applyBorder="1" applyAlignment="1">
      <alignment horizontal="center" vertical="center"/>
    </xf>
    <xf numFmtId="0" fontId="33" fillId="0" borderId="48" xfId="0" applyFont="1" applyBorder="1" applyAlignment="1">
      <alignment horizontal="center" vertical="center"/>
    </xf>
    <xf numFmtId="0" fontId="33" fillId="0" borderId="49" xfId="0" applyFont="1" applyBorder="1" applyAlignment="1">
      <alignment horizontal="center" vertical="center"/>
    </xf>
    <xf numFmtId="0" fontId="33" fillId="18" borderId="12" xfId="0" applyFont="1" applyFill="1" applyBorder="1" applyAlignment="1">
      <alignment horizontal="center" wrapText="1"/>
    </xf>
    <xf numFmtId="0" fontId="33" fillId="18" borderId="0" xfId="0" applyFont="1" applyFill="1" applyBorder="1" applyAlignment="1">
      <alignment horizontal="center" wrapText="1"/>
    </xf>
    <xf numFmtId="0" fontId="33" fillId="18" borderId="47" xfId="0" applyFont="1" applyFill="1" applyBorder="1" applyAlignment="1">
      <alignment horizontal="center" wrapText="1"/>
    </xf>
    <xf numFmtId="0" fontId="33" fillId="18" borderId="48" xfId="0" applyFont="1" applyFill="1" applyBorder="1" applyAlignment="1">
      <alignment horizontal="center" wrapText="1"/>
    </xf>
    <xf numFmtId="0" fontId="103" fillId="18" borderId="38" xfId="0" applyFont="1" applyFill="1" applyBorder="1" applyAlignment="1">
      <alignment horizontal="center"/>
    </xf>
    <xf numFmtId="0" fontId="103" fillId="18" borderId="10" xfId="0" applyFont="1" applyFill="1" applyBorder="1" applyAlignment="1">
      <alignment horizontal="center"/>
    </xf>
    <xf numFmtId="0" fontId="97" fillId="18" borderId="10" xfId="0" applyFont="1" applyFill="1" applyBorder="1" applyAlignment="1">
      <alignment horizontal="center"/>
    </xf>
    <xf numFmtId="0" fontId="0" fillId="18" borderId="0" xfId="0" applyFill="1" applyAlignment="1">
      <alignment horizontal="center" vertical="top" wrapText="1"/>
    </xf>
    <xf numFmtId="0" fontId="5" fillId="18" borderId="0" xfId="0" applyFont="1" applyFill="1" applyAlignment="1">
      <alignment horizontal="center" vertical="top" wrapText="1"/>
    </xf>
    <xf numFmtId="14" fontId="0" fillId="18" borderId="10" xfId="0" applyNumberFormat="1" applyFill="1" applyBorder="1" applyAlignment="1" applyProtection="1">
      <alignment horizontal="center"/>
      <protection locked="0"/>
    </xf>
    <xf numFmtId="0" fontId="5" fillId="18" borderId="42" xfId="0" applyFont="1" applyFill="1" applyBorder="1" applyAlignment="1">
      <alignment horizontal="center" vertical="center"/>
    </xf>
    <xf numFmtId="0" fontId="5" fillId="18" borderId="14" xfId="0" applyFont="1" applyFill="1" applyBorder="1" applyAlignment="1">
      <alignment horizontal="center" vertical="center"/>
    </xf>
    <xf numFmtId="0" fontId="10" fillId="18" borderId="33" xfId="0" applyFont="1" applyFill="1" applyBorder="1" applyAlignment="1">
      <alignment horizontal="center"/>
    </xf>
    <xf numFmtId="0" fontId="10" fillId="18" borderId="10" xfId="0" applyFont="1" applyFill="1" applyBorder="1" applyAlignment="1">
      <alignment horizontal="center"/>
    </xf>
    <xf numFmtId="0" fontId="66" fillId="18" borderId="18" xfId="0" applyFont="1" applyFill="1" applyBorder="1" applyAlignment="1"/>
    <xf numFmtId="0" fontId="66" fillId="18" borderId="44" xfId="0" applyFont="1" applyFill="1" applyBorder="1" applyAlignment="1"/>
    <xf numFmtId="0" fontId="66" fillId="18" borderId="12" xfId="0" applyFont="1" applyFill="1" applyBorder="1" applyAlignment="1"/>
    <xf numFmtId="0" fontId="66" fillId="18" borderId="0" xfId="0" applyFont="1" applyFill="1" applyBorder="1" applyAlignment="1"/>
    <xf numFmtId="0" fontId="66" fillId="18" borderId="29" xfId="0" applyFont="1" applyFill="1" applyBorder="1" applyAlignment="1"/>
    <xf numFmtId="0" fontId="66" fillId="18" borderId="47" xfId="0" applyFont="1" applyFill="1" applyBorder="1" applyAlignment="1"/>
    <xf numFmtId="0" fontId="66" fillId="18" borderId="48" xfId="0" applyFont="1" applyFill="1" applyBorder="1" applyAlignment="1"/>
    <xf numFmtId="0" fontId="66" fillId="18" borderId="49" xfId="0" applyFont="1" applyFill="1" applyBorder="1" applyAlignment="1"/>
    <xf numFmtId="0" fontId="97" fillId="18" borderId="33" xfId="0" applyFont="1" applyFill="1" applyBorder="1" applyAlignment="1">
      <alignment horizontal="center"/>
    </xf>
    <xf numFmtId="0" fontId="97" fillId="18" borderId="13" xfId="0" applyFont="1" applyFill="1" applyBorder="1" applyAlignment="1">
      <alignment horizontal="center"/>
    </xf>
    <xf numFmtId="14" fontId="12" fillId="18" borderId="33" xfId="0" applyNumberFormat="1" applyFont="1" applyFill="1" applyBorder="1" applyAlignment="1" applyProtection="1">
      <alignment horizontal="center"/>
      <protection locked="0"/>
    </xf>
    <xf numFmtId="14" fontId="12" fillId="18" borderId="13" xfId="0" applyNumberFormat="1" applyFont="1" applyFill="1" applyBorder="1" applyAlignment="1" applyProtection="1">
      <alignment horizontal="center"/>
      <protection locked="0"/>
    </xf>
    <xf numFmtId="0" fontId="5" fillId="18" borderId="43" xfId="0" applyFont="1" applyFill="1" applyBorder="1" applyAlignment="1">
      <alignment horizontal="center" vertical="center"/>
    </xf>
    <xf numFmtId="0" fontId="5" fillId="0" borderId="40"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33" fillId="18" borderId="18" xfId="0" applyFont="1" applyFill="1" applyBorder="1" applyAlignment="1">
      <alignment horizontal="center" vertical="center" wrapText="1"/>
    </xf>
    <xf numFmtId="0" fontId="11" fillId="18" borderId="70" xfId="0" applyFont="1" applyFill="1" applyBorder="1" applyAlignment="1" applyProtection="1">
      <alignment horizontal="left"/>
      <protection locked="0"/>
    </xf>
    <xf numFmtId="166" fontId="91" fillId="25" borderId="86" xfId="0" applyNumberFormat="1" applyFont="1" applyFill="1" applyBorder="1" applyAlignment="1" applyProtection="1">
      <alignment horizontal="center"/>
      <protection hidden="1"/>
    </xf>
    <xf numFmtId="166" fontId="91" fillId="25" borderId="87" xfId="0" applyNumberFormat="1" applyFont="1" applyFill="1" applyBorder="1" applyAlignment="1" applyProtection="1">
      <alignment horizontal="center"/>
      <protection hidden="1"/>
    </xf>
    <xf numFmtId="0" fontId="11" fillId="18" borderId="40" xfId="0" applyFont="1" applyFill="1" applyBorder="1" applyAlignment="1" applyProtection="1">
      <alignment horizontal="left"/>
      <protection locked="0"/>
    </xf>
    <xf numFmtId="0" fontId="11" fillId="18" borderId="69" xfId="0" applyFont="1" applyFill="1" applyBorder="1" applyAlignment="1" applyProtection="1">
      <alignment horizontal="left"/>
      <protection locked="0"/>
    </xf>
    <xf numFmtId="0" fontId="11" fillId="18" borderId="73" xfId="0" applyFont="1" applyFill="1" applyBorder="1" applyAlignment="1" applyProtection="1">
      <alignment horizontal="left"/>
      <protection locked="0"/>
    </xf>
    <xf numFmtId="0" fontId="0" fillId="25" borderId="69" xfId="0" applyFill="1" applyBorder="1" applyAlignment="1">
      <alignment horizontal="center"/>
    </xf>
    <xf numFmtId="0" fontId="0" fillId="25" borderId="73" xfId="0" applyFill="1" applyBorder="1" applyAlignment="1">
      <alignment horizontal="center"/>
    </xf>
    <xf numFmtId="0" fontId="11" fillId="18" borderId="52" xfId="0" applyFont="1" applyFill="1" applyBorder="1" applyAlignment="1" applyProtection="1">
      <alignment horizontal="left"/>
      <protection locked="0"/>
    </xf>
    <xf numFmtId="0" fontId="15" fillId="25" borderId="69" xfId="0" applyFont="1" applyFill="1" applyBorder="1" applyAlignment="1">
      <alignment horizontal="right"/>
    </xf>
    <xf numFmtId="0" fontId="15" fillId="25" borderId="0" xfId="0" applyFont="1" applyFill="1" applyBorder="1" applyAlignment="1"/>
    <xf numFmtId="166" fontId="11" fillId="18" borderId="83" xfId="0" applyNumberFormat="1" applyFont="1" applyFill="1" applyBorder="1" applyAlignment="1" applyProtection="1">
      <alignment horizontal="left"/>
      <protection locked="0"/>
    </xf>
    <xf numFmtId="166" fontId="11" fillId="18" borderId="84" xfId="0" applyNumberFormat="1" applyFont="1" applyFill="1" applyBorder="1" applyAlignment="1" applyProtection="1">
      <alignment horizontal="left"/>
      <protection locked="0"/>
    </xf>
    <xf numFmtId="166" fontId="11" fillId="18" borderId="85" xfId="0" applyNumberFormat="1" applyFont="1" applyFill="1" applyBorder="1" applyAlignment="1" applyProtection="1">
      <alignment horizontal="left"/>
      <protection locked="0"/>
    </xf>
    <xf numFmtId="0" fontId="11" fillId="25" borderId="69" xfId="0" applyFont="1" applyFill="1" applyBorder="1" applyAlignment="1">
      <alignment horizontal="right"/>
    </xf>
    <xf numFmtId="0" fontId="5" fillId="25" borderId="0" xfId="0" applyFont="1" applyFill="1" applyBorder="1" applyAlignment="1">
      <alignment horizontal="center"/>
    </xf>
    <xf numFmtId="0" fontId="0" fillId="25" borderId="0" xfId="0" applyFill="1" applyBorder="1" applyAlignment="1">
      <alignment horizontal="center"/>
    </xf>
    <xf numFmtId="0" fontId="36" fillId="25" borderId="18" xfId="0" applyFont="1" applyFill="1" applyBorder="1" applyAlignment="1"/>
    <xf numFmtId="0" fontId="16" fillId="25" borderId="0" xfId="0" applyFont="1" applyFill="1" applyBorder="1" applyAlignment="1">
      <alignment horizontal="center" textRotation="90"/>
    </xf>
    <xf numFmtId="0" fontId="15" fillId="25" borderId="0" xfId="0" applyFont="1" applyFill="1" applyBorder="1" applyAlignment="1">
      <alignment horizontal="right"/>
    </xf>
    <xf numFmtId="0" fontId="16" fillId="25" borderId="0" xfId="0" applyFont="1" applyFill="1" applyBorder="1" applyAlignment="1" applyProtection="1">
      <alignment horizontal="center" textRotation="90"/>
    </xf>
    <xf numFmtId="0" fontId="11" fillId="25" borderId="40" xfId="0" applyFont="1" applyFill="1" applyBorder="1" applyAlignment="1">
      <alignment horizontal="right"/>
    </xf>
    <xf numFmtId="0" fontId="33" fillId="25" borderId="0" xfId="0" applyFont="1" applyFill="1" applyBorder="1" applyAlignment="1">
      <alignment horizontal="center" wrapText="1"/>
    </xf>
    <xf numFmtId="0" fontId="8" fillId="18" borderId="15" xfId="0" applyFont="1" applyFill="1" applyBorder="1" applyAlignment="1">
      <alignment horizontal="center" vertical="center" wrapText="1"/>
    </xf>
    <xf numFmtId="0" fontId="9" fillId="18" borderId="15" xfId="0" applyFont="1" applyFill="1" applyBorder="1" applyAlignment="1">
      <alignment horizontal="center" vertical="center" wrapText="1"/>
    </xf>
    <xf numFmtId="0" fontId="0" fillId="18" borderId="0" xfId="0" applyFill="1" applyAlignment="1">
      <alignment horizontal="center" vertical="center" wrapText="1"/>
    </xf>
    <xf numFmtId="0" fontId="0" fillId="18" borderId="0" xfId="0" applyFill="1" applyBorder="1" applyAlignment="1">
      <alignment horizontal="center" vertical="center" wrapText="1"/>
    </xf>
    <xf numFmtId="0" fontId="9" fillId="22" borderId="15" xfId="0" applyFont="1" applyFill="1" applyBorder="1" applyAlignment="1">
      <alignment horizontal="center" vertical="center" wrapText="1"/>
    </xf>
    <xf numFmtId="0" fontId="0" fillId="22" borderId="15" xfId="0" applyFill="1" applyBorder="1" applyAlignment="1">
      <alignment horizontal="center" vertical="center" wrapText="1"/>
    </xf>
    <xf numFmtId="0" fontId="38" fillId="18" borderId="15" xfId="0" applyFont="1" applyFill="1" applyBorder="1" applyAlignment="1">
      <alignment horizontal="center" vertical="center" wrapText="1"/>
    </xf>
    <xf numFmtId="0" fontId="0" fillId="18" borderId="15" xfId="0" applyFill="1" applyBorder="1" applyAlignment="1">
      <alignment horizontal="center" vertical="center" wrapText="1"/>
    </xf>
    <xf numFmtId="0" fontId="9" fillId="20" borderId="15" xfId="0" applyFont="1" applyFill="1" applyBorder="1" applyAlignment="1">
      <alignment horizontal="center" vertical="center" wrapText="1"/>
    </xf>
    <xf numFmtId="0" fontId="0" fillId="20" borderId="15" xfId="0" applyFill="1" applyBorder="1" applyAlignment="1">
      <alignment horizontal="center" vertical="center" wrapText="1"/>
    </xf>
    <xf numFmtId="0" fontId="8" fillId="18" borderId="15" xfId="0" applyFont="1" applyFill="1" applyBorder="1" applyAlignment="1" applyProtection="1">
      <alignment horizontal="center" vertical="center" wrapText="1"/>
      <protection locked="0"/>
    </xf>
    <xf numFmtId="0" fontId="9" fillId="19" borderId="15" xfId="0" applyFont="1" applyFill="1" applyBorder="1" applyAlignment="1">
      <alignment horizontal="center" vertical="center" wrapText="1"/>
    </xf>
    <xf numFmtId="0" fontId="0" fillId="19" borderId="15" xfId="0" applyFill="1" applyBorder="1" applyAlignment="1">
      <alignment horizontal="center" vertical="center" wrapText="1"/>
    </xf>
    <xf numFmtId="0" fontId="38" fillId="0" borderId="15" xfId="0" applyFont="1" applyBorder="1" applyAlignment="1">
      <alignment horizontal="center" vertical="center" wrapText="1"/>
    </xf>
    <xf numFmtId="0" fontId="11" fillId="0" borderId="15" xfId="0" applyFont="1" applyBorder="1" applyAlignment="1" applyProtection="1">
      <alignment horizontal="center" vertical="center" wrapText="1"/>
      <protection locked="0"/>
    </xf>
    <xf numFmtId="0" fontId="15"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14" fillId="18" borderId="33" xfId="0" applyFont="1" applyFill="1" applyBorder="1" applyAlignment="1">
      <alignment horizontal="left"/>
    </xf>
    <xf numFmtId="0" fontId="14" fillId="18" borderId="10" xfId="0" applyFont="1" applyFill="1" applyBorder="1" applyAlignment="1">
      <alignment horizontal="left"/>
    </xf>
    <xf numFmtId="0" fontId="33" fillId="18" borderId="18" xfId="0" applyFont="1" applyFill="1" applyBorder="1" applyAlignment="1">
      <alignment horizontal="left" vertical="center" wrapText="1"/>
    </xf>
    <xf numFmtId="0" fontId="33" fillId="18" borderId="18" xfId="0" applyFont="1" applyFill="1" applyBorder="1" applyAlignment="1">
      <alignment horizontal="left" vertical="center"/>
    </xf>
    <xf numFmtId="0" fontId="33" fillId="18" borderId="44" xfId="0" applyFont="1" applyFill="1" applyBorder="1" applyAlignment="1">
      <alignment horizontal="left" vertical="center"/>
    </xf>
    <xf numFmtId="0" fontId="33" fillId="18" borderId="0" xfId="0" applyFont="1" applyFill="1" applyBorder="1" applyAlignment="1">
      <alignment horizontal="left" vertical="center"/>
    </xf>
    <xf numFmtId="0" fontId="33" fillId="18" borderId="29" xfId="0" applyFont="1" applyFill="1" applyBorder="1" applyAlignment="1">
      <alignment horizontal="left" vertical="center"/>
    </xf>
    <xf numFmtId="0" fontId="33" fillId="18" borderId="48" xfId="0" applyFont="1" applyFill="1" applyBorder="1" applyAlignment="1">
      <alignment horizontal="left" vertical="center"/>
    </xf>
    <xf numFmtId="0" fontId="33" fillId="18" borderId="49" xfId="0" applyFont="1" applyFill="1" applyBorder="1" applyAlignment="1">
      <alignment horizontal="left" vertical="center"/>
    </xf>
    <xf numFmtId="0" fontId="0" fillId="18" borderId="0" xfId="0" applyFill="1" applyAlignment="1"/>
    <xf numFmtId="0" fontId="15" fillId="18" borderId="41" xfId="0" applyFont="1" applyFill="1" applyBorder="1" applyAlignment="1">
      <alignment horizontal="center" vertical="center"/>
    </xf>
    <xf numFmtId="0" fontId="15" fillId="18" borderId="36" xfId="0" applyFont="1" applyFill="1" applyBorder="1" applyAlignment="1">
      <alignment horizontal="center" vertical="center"/>
    </xf>
    <xf numFmtId="0" fontId="15" fillId="18" borderId="33" xfId="0" applyFont="1" applyFill="1" applyBorder="1" applyAlignment="1">
      <alignment horizontal="center" vertical="center"/>
    </xf>
    <xf numFmtId="0" fontId="15" fillId="18" borderId="13" xfId="0" applyFont="1" applyFill="1" applyBorder="1" applyAlignment="1">
      <alignment horizontal="center" vertical="center"/>
    </xf>
    <xf numFmtId="0" fontId="10" fillId="18" borderId="41" xfId="0" applyFont="1" applyFill="1" applyBorder="1" applyAlignment="1">
      <alignment horizontal="center"/>
    </xf>
    <xf numFmtId="0" fontId="10" fillId="18" borderId="36" xfId="0" applyFont="1" applyFill="1" applyBorder="1" applyAlignment="1">
      <alignment horizontal="center"/>
    </xf>
    <xf numFmtId="168" fontId="0" fillId="18" borderId="33" xfId="0" applyNumberFormat="1" applyFill="1" applyBorder="1" applyAlignment="1">
      <alignment horizontal="center"/>
    </xf>
    <xf numFmtId="168" fontId="0" fillId="18" borderId="13" xfId="0" applyNumberFormat="1" applyFill="1" applyBorder="1" applyAlignment="1">
      <alignment horizontal="center"/>
    </xf>
    <xf numFmtId="0" fontId="15" fillId="18" borderId="34" xfId="0" applyFont="1" applyFill="1" applyBorder="1" applyAlignment="1">
      <alignment horizontal="center" vertical="center"/>
    </xf>
    <xf numFmtId="0" fontId="11" fillId="18" borderId="0" xfId="0" applyFont="1" applyFill="1" applyAlignment="1">
      <alignment horizontal="center"/>
    </xf>
    <xf numFmtId="0" fontId="15" fillId="18" borderId="42" xfId="0" applyFont="1" applyFill="1" applyBorder="1" applyAlignment="1">
      <alignment horizontal="center" vertical="center"/>
    </xf>
    <xf numFmtId="0" fontId="15" fillId="18" borderId="14" xfId="0" applyFont="1" applyFill="1" applyBorder="1" applyAlignment="1">
      <alignment horizontal="center" vertical="center"/>
    </xf>
    <xf numFmtId="0" fontId="12" fillId="18" borderId="33" xfId="0" applyFont="1" applyFill="1" applyBorder="1" applyAlignment="1">
      <alignment horizontal="center"/>
    </xf>
    <xf numFmtId="0" fontId="12" fillId="18" borderId="10" xfId="0" applyFont="1" applyFill="1" applyBorder="1" applyAlignment="1">
      <alignment horizontal="center"/>
    </xf>
    <xf numFmtId="0" fontId="12" fillId="18" borderId="13" xfId="0" applyFont="1" applyFill="1" applyBorder="1" applyAlignment="1">
      <alignment horizontal="center"/>
    </xf>
    <xf numFmtId="0" fontId="11" fillId="18" borderId="10" xfId="0" applyFont="1" applyFill="1" applyBorder="1" applyAlignment="1">
      <alignment horizontal="center"/>
    </xf>
    <xf numFmtId="0" fontId="0" fillId="18" borderId="41" xfId="0" applyFill="1" applyBorder="1" applyAlignment="1">
      <alignment horizontal="center"/>
    </xf>
    <xf numFmtId="0" fontId="0" fillId="18" borderId="36" xfId="0" applyFill="1" applyBorder="1" applyAlignment="1">
      <alignment horizontal="center"/>
    </xf>
    <xf numFmtId="0" fontId="15" fillId="18" borderId="15" xfId="0" applyFont="1" applyFill="1" applyBorder="1" applyAlignment="1">
      <alignment horizontal="center"/>
    </xf>
    <xf numFmtId="0" fontId="0" fillId="18" borderId="34" xfId="0" applyFill="1" applyBorder="1" applyAlignment="1">
      <alignment horizontal="center"/>
    </xf>
    <xf numFmtId="0" fontId="0" fillId="18" borderId="38" xfId="0" applyFill="1" applyBorder="1" applyAlignment="1">
      <alignment horizontal="center"/>
    </xf>
    <xf numFmtId="0" fontId="0" fillId="18" borderId="16" xfId="0" applyFill="1" applyBorder="1" applyAlignment="1">
      <alignment horizontal="center"/>
    </xf>
    <xf numFmtId="0" fontId="0" fillId="18" borderId="34" xfId="0" quotePrefix="1" applyFill="1" applyBorder="1" applyAlignment="1">
      <alignment horizontal="center"/>
    </xf>
    <xf numFmtId="2" fontId="0" fillId="18" borderId="34" xfId="0" quotePrefix="1" applyNumberFormat="1" applyFill="1" applyBorder="1" applyAlignment="1">
      <alignment horizontal="center"/>
    </xf>
    <xf numFmtId="2" fontId="0" fillId="18" borderId="16" xfId="0" applyNumberFormat="1" applyFill="1" applyBorder="1" applyAlignment="1">
      <alignment horizontal="center"/>
    </xf>
    <xf numFmtId="0" fontId="37" fillId="18" borderId="17" xfId="0" applyFont="1" applyFill="1" applyBorder="1" applyAlignment="1">
      <alignment horizontal="left" wrapText="1"/>
    </xf>
    <xf numFmtId="0" fontId="0" fillId="18" borderId="18" xfId="0" applyFill="1" applyBorder="1" applyAlignment="1">
      <alignment horizontal="left"/>
    </xf>
    <xf numFmtId="0" fontId="0" fillId="18" borderId="44" xfId="0" applyFill="1" applyBorder="1" applyAlignment="1">
      <alignment horizontal="left"/>
    </xf>
    <xf numFmtId="0" fontId="0" fillId="18" borderId="12" xfId="0" applyFill="1" applyBorder="1" applyAlignment="1">
      <alignment horizontal="left"/>
    </xf>
    <xf numFmtId="0" fontId="0" fillId="18" borderId="0" xfId="0" applyFill="1" applyBorder="1" applyAlignment="1">
      <alignment horizontal="left"/>
    </xf>
    <xf numFmtId="0" fontId="0" fillId="18" borderId="29" xfId="0" applyFill="1" applyBorder="1" applyAlignment="1">
      <alignment horizontal="left"/>
    </xf>
    <xf numFmtId="0" fontId="30" fillId="18" borderId="13" xfId="0" applyFont="1" applyFill="1" applyBorder="1" applyAlignment="1">
      <alignment horizontal="center"/>
    </xf>
    <xf numFmtId="0" fontId="30" fillId="18" borderId="14" xfId="0" applyFont="1" applyFill="1" applyBorder="1" applyAlignment="1">
      <alignment horizontal="center"/>
    </xf>
    <xf numFmtId="0" fontId="30" fillId="18" borderId="33" xfId="0" applyFont="1" applyFill="1" applyBorder="1" applyAlignment="1">
      <alignment horizontal="center"/>
    </xf>
    <xf numFmtId="0" fontId="30" fillId="18" borderId="10" xfId="0" applyFont="1" applyFill="1" applyBorder="1" applyAlignment="1">
      <alignment horizontal="center"/>
    </xf>
    <xf numFmtId="0" fontId="30" fillId="18" borderId="46" xfId="0" applyFont="1" applyFill="1" applyBorder="1" applyAlignment="1">
      <alignment horizontal="center"/>
    </xf>
    <xf numFmtId="169" fontId="0" fillId="18" borderId="0" xfId="0" applyNumberFormat="1" applyFill="1" applyAlignment="1">
      <alignment horizontal="center"/>
    </xf>
    <xf numFmtId="2" fontId="0" fillId="18" borderId="0" xfId="0" applyNumberFormat="1" applyFill="1" applyBorder="1" applyAlignment="1">
      <alignment horizontal="center"/>
    </xf>
    <xf numFmtId="169" fontId="0" fillId="18" borderId="0" xfId="0" applyNumberFormat="1" applyFill="1" applyBorder="1" applyAlignment="1">
      <alignment horizontal="center"/>
    </xf>
    <xf numFmtId="2" fontId="0" fillId="18" borderId="0" xfId="0" applyNumberFormat="1" applyFill="1" applyAlignment="1">
      <alignment horizontal="center"/>
    </xf>
    <xf numFmtId="169" fontId="0" fillId="18" borderId="11" xfId="0" applyNumberFormat="1" applyFill="1" applyBorder="1" applyAlignment="1">
      <alignment horizontal="center"/>
    </xf>
    <xf numFmtId="2" fontId="0" fillId="18" borderId="11" xfId="0" applyNumberFormat="1" applyFill="1" applyBorder="1" applyAlignment="1">
      <alignment horizontal="center"/>
    </xf>
    <xf numFmtId="0" fontId="1" fillId="18" borderId="11" xfId="0" applyFont="1" applyFill="1" applyBorder="1" applyAlignment="1">
      <alignment horizontal="center" vertical="center" wrapText="1"/>
    </xf>
    <xf numFmtId="0" fontId="1" fillId="18" borderId="10" xfId="0" applyFont="1" applyFill="1" applyBorder="1" applyAlignment="1">
      <alignment horizontal="center" vertical="center" wrapText="1"/>
    </xf>
    <xf numFmtId="2" fontId="0" fillId="18" borderId="10" xfId="0" applyNumberFormat="1" applyFill="1" applyBorder="1" applyAlignment="1">
      <alignment horizontal="center"/>
    </xf>
    <xf numFmtId="0" fontId="1" fillId="18" borderId="11" xfId="0" applyFont="1" applyFill="1" applyBorder="1" applyAlignment="1">
      <alignment horizontal="center" wrapText="1"/>
    </xf>
    <xf numFmtId="0" fontId="1" fillId="18" borderId="10" xfId="0" applyFont="1" applyFill="1" applyBorder="1" applyAlignment="1">
      <alignment horizontal="center" wrapText="1"/>
    </xf>
    <xf numFmtId="0" fontId="1" fillId="18" borderId="11" xfId="0" applyFont="1" applyFill="1" applyBorder="1" applyAlignment="1">
      <alignment horizontal="center" vertical="center"/>
    </xf>
    <xf numFmtId="0" fontId="1" fillId="18" borderId="10" xfId="0" applyFont="1" applyFill="1" applyBorder="1" applyAlignment="1">
      <alignment horizontal="center" vertical="center"/>
    </xf>
    <xf numFmtId="0" fontId="74" fillId="18" borderId="0" xfId="0" applyFont="1" applyFill="1" applyBorder="1" applyAlignment="1">
      <alignment horizontal="left"/>
    </xf>
    <xf numFmtId="0" fontId="74" fillId="18" borderId="10" xfId="0" applyFont="1" applyFill="1" applyBorder="1" applyAlignment="1">
      <alignment horizontal="left"/>
    </xf>
    <xf numFmtId="0" fontId="15" fillId="18" borderId="38" xfId="0" applyFont="1" applyFill="1" applyBorder="1" applyAlignment="1">
      <alignment horizontal="center"/>
    </xf>
    <xf numFmtId="0" fontId="0" fillId="18" borderId="11" xfId="0" applyFill="1" applyBorder="1" applyAlignment="1">
      <alignment horizontal="center"/>
    </xf>
    <xf numFmtId="2" fontId="0" fillId="18" borderId="11" xfId="0" quotePrefix="1" applyNumberFormat="1" applyFill="1" applyBorder="1" applyAlignment="1">
      <alignment horizontal="center"/>
    </xf>
    <xf numFmtId="0" fontId="9" fillId="18" borderId="17" xfId="0" applyFont="1" applyFill="1" applyBorder="1" applyAlignment="1">
      <alignment horizontal="center" wrapText="1"/>
    </xf>
    <xf numFmtId="0" fontId="9" fillId="18" borderId="18" xfId="0" applyFont="1" applyFill="1" applyBorder="1" applyAlignment="1">
      <alignment horizontal="center"/>
    </xf>
    <xf numFmtId="0" fontId="9" fillId="18" borderId="44" xfId="0" applyFont="1" applyFill="1" applyBorder="1" applyAlignment="1">
      <alignment horizontal="center"/>
    </xf>
    <xf numFmtId="0" fontId="9" fillId="18" borderId="12" xfId="0" applyFont="1" applyFill="1" applyBorder="1" applyAlignment="1">
      <alignment horizontal="center"/>
    </xf>
    <xf numFmtId="0" fontId="9" fillId="18" borderId="0" xfId="0" applyFont="1" applyFill="1" applyBorder="1" applyAlignment="1">
      <alignment horizontal="center"/>
    </xf>
    <xf numFmtId="0" fontId="9" fillId="18" borderId="29" xfId="0" applyFont="1" applyFill="1" applyBorder="1" applyAlignment="1">
      <alignment horizontal="center"/>
    </xf>
    <xf numFmtId="0" fontId="9" fillId="18" borderId="47" xfId="0" applyFont="1" applyFill="1" applyBorder="1" applyAlignment="1">
      <alignment horizontal="center"/>
    </xf>
    <xf numFmtId="0" fontId="9" fillId="18" borderId="48" xfId="0" applyFont="1" applyFill="1" applyBorder="1" applyAlignment="1">
      <alignment horizontal="center"/>
    </xf>
    <xf numFmtId="0" fontId="9" fillId="18" borderId="49" xfId="0" applyFont="1" applyFill="1" applyBorder="1" applyAlignment="1">
      <alignment horizontal="center"/>
    </xf>
    <xf numFmtId="2" fontId="5" fillId="18" borderId="38" xfId="0" applyNumberFormat="1" applyFont="1" applyFill="1" applyBorder="1" applyAlignment="1">
      <alignment horizontal="center"/>
    </xf>
    <xf numFmtId="0" fontId="0" fillId="18" borderId="15" xfId="0" applyFill="1" applyBorder="1" applyAlignment="1">
      <alignment horizontal="center"/>
    </xf>
    <xf numFmtId="165" fontId="0" fillId="18" borderId="15" xfId="0" applyNumberFormat="1" applyFill="1" applyBorder="1" applyAlignment="1">
      <alignment horizontal="center"/>
    </xf>
    <xf numFmtId="0" fontId="19" fillId="18" borderId="34" xfId="0" applyFont="1" applyFill="1" applyBorder="1" applyAlignment="1">
      <alignment horizontal="center" vertical="center"/>
    </xf>
    <xf numFmtId="0" fontId="19" fillId="18" borderId="38" xfId="0" applyFont="1" applyFill="1" applyBorder="1" applyAlignment="1">
      <alignment horizontal="center" vertical="center"/>
    </xf>
    <xf numFmtId="0" fontId="19" fillId="18" borderId="16" xfId="0" applyFont="1" applyFill="1" applyBorder="1" applyAlignment="1">
      <alignment horizontal="center" vertical="center"/>
    </xf>
    <xf numFmtId="0" fontId="66" fillId="18" borderId="38" xfId="0" applyFont="1" applyFill="1" applyBorder="1" applyAlignment="1">
      <alignment horizontal="center"/>
    </xf>
    <xf numFmtId="0" fontId="66" fillId="18" borderId="16" xfId="0" applyFont="1" applyFill="1" applyBorder="1" applyAlignment="1">
      <alignment horizontal="center"/>
    </xf>
    <xf numFmtId="2" fontId="5" fillId="18" borderId="16" xfId="0" applyNumberFormat="1" applyFont="1" applyFill="1" applyBorder="1" applyAlignment="1">
      <alignment horizontal="center"/>
    </xf>
    <xf numFmtId="2" fontId="0" fillId="18" borderId="34" xfId="0" applyNumberFormat="1" applyFill="1" applyBorder="1" applyAlignment="1">
      <alignment horizontal="center"/>
    </xf>
    <xf numFmtId="0" fontId="5" fillId="18" borderId="0" xfId="0" applyFont="1" applyFill="1" applyAlignment="1">
      <alignment horizontal="center"/>
    </xf>
    <xf numFmtId="0" fontId="5" fillId="18" borderId="37" xfId="0" applyFont="1" applyFill="1" applyBorder="1" applyAlignment="1">
      <alignment horizontal="center"/>
    </xf>
    <xf numFmtId="0" fontId="15" fillId="18" borderId="10" xfId="0" applyFont="1" applyFill="1" applyBorder="1" applyAlignment="1">
      <alignment horizontal="center"/>
    </xf>
    <xf numFmtId="0" fontId="15" fillId="18" borderId="13" xfId="0" applyFont="1" applyFill="1" applyBorder="1" applyAlignment="1">
      <alignment horizontal="center"/>
    </xf>
    <xf numFmtId="0" fontId="5" fillId="18" borderId="34" xfId="0" applyFont="1" applyFill="1" applyBorder="1" applyAlignment="1">
      <alignment horizontal="center" vertical="center" wrapText="1"/>
    </xf>
    <xf numFmtId="0" fontId="5" fillId="18" borderId="16" xfId="0" applyFont="1" applyFill="1" applyBorder="1" applyAlignment="1">
      <alignment horizontal="center" vertical="center" wrapText="1"/>
    </xf>
    <xf numFmtId="2" fontId="0" fillId="18" borderId="15" xfId="0" applyNumberFormat="1" applyFill="1" applyBorder="1" applyAlignment="1">
      <alignment horizontal="center"/>
    </xf>
    <xf numFmtId="1" fontId="0" fillId="18" borderId="10" xfId="0" applyNumberFormat="1" applyFill="1" applyBorder="1" applyAlignment="1">
      <alignment horizontal="center"/>
    </xf>
    <xf numFmtId="0" fontId="66" fillId="18" borderId="11" xfId="0" applyFont="1" applyFill="1" applyBorder="1" applyAlignment="1">
      <alignment horizontal="center"/>
    </xf>
    <xf numFmtId="0" fontId="5" fillId="18" borderId="36" xfId="0" applyFont="1" applyFill="1" applyBorder="1" applyAlignment="1">
      <alignment horizontal="center" vertical="center" wrapText="1"/>
    </xf>
    <xf numFmtId="0" fontId="5" fillId="18" borderId="34" xfId="0" applyFont="1" applyFill="1" applyBorder="1" applyAlignment="1">
      <alignment horizontal="center" vertical="center"/>
    </xf>
    <xf numFmtId="0" fontId="5" fillId="18" borderId="16" xfId="0" applyFont="1" applyFill="1" applyBorder="1" applyAlignment="1">
      <alignment horizontal="center" vertical="center"/>
    </xf>
    <xf numFmtId="0" fontId="1" fillId="0" borderId="61" xfId="0" applyFont="1" applyBorder="1" applyAlignment="1">
      <alignment horizontal="left" vertical="top" wrapText="1"/>
    </xf>
    <xf numFmtId="0" fontId="15" fillId="0" borderId="11" xfId="0" applyFont="1" applyBorder="1" applyAlignment="1">
      <alignment horizontal="left" vertical="top"/>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3"/>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4">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7"/>
      </font>
    </dxf>
    <dxf>
      <font>
        <condense val="0"/>
        <extend val="0"/>
        <color indexed="12"/>
      </font>
    </dxf>
    <dxf>
      <font>
        <condense val="0"/>
        <extend val="0"/>
        <color indexed="17"/>
      </font>
    </dxf>
    <dxf>
      <font>
        <condense val="0"/>
        <extend val="0"/>
        <color indexed="10"/>
      </font>
    </dxf>
    <dxf>
      <font>
        <b val="0"/>
        <i/>
        <strike val="0"/>
        <condense val="0"/>
        <extend val="0"/>
        <u/>
        <color indexed="10"/>
      </font>
      <fill>
        <patternFill patternType="solid">
          <fgColor indexed="64"/>
          <bgColor indexed="9"/>
        </patternFill>
      </fill>
    </dxf>
    <dxf>
      <font>
        <b val="0"/>
        <i/>
        <strike val="0"/>
        <condense val="0"/>
        <extend val="0"/>
        <u/>
        <color indexed="10"/>
      </font>
      <fill>
        <patternFill patternType="solid">
          <fgColor indexed="64"/>
          <bgColor indexed="9"/>
        </patternFill>
      </fill>
    </dxf>
    <dxf>
      <font>
        <b val="0"/>
        <i/>
        <strike val="0"/>
        <condense val="0"/>
        <extend val="0"/>
        <u/>
        <color indexed="10"/>
      </font>
      <fill>
        <patternFill patternType="solid">
          <fgColor indexed="64"/>
          <bgColor indexed="9"/>
        </patternFill>
      </fill>
    </dxf>
    <dxf>
      <font>
        <b val="0"/>
        <i/>
        <strike val="0"/>
        <condense val="0"/>
        <extend val="0"/>
        <u/>
        <color indexed="10"/>
      </font>
      <fill>
        <patternFill patternType="solid">
          <fgColor indexed="64"/>
          <bgColor indexed="9"/>
        </patternFill>
      </fill>
    </dxf>
    <dxf>
      <font>
        <b val="0"/>
        <i/>
        <strike val="0"/>
        <condense val="0"/>
        <extend val="0"/>
        <u/>
        <color indexed="10"/>
      </font>
      <fill>
        <patternFill patternType="solid">
          <fgColor indexed="64"/>
          <bgColor indexed="9"/>
        </patternFill>
      </fill>
    </dxf>
    <dxf>
      <font>
        <b val="0"/>
        <i/>
        <strike val="0"/>
        <condense val="0"/>
        <extend val="0"/>
        <u/>
        <color indexed="10"/>
      </font>
      <fill>
        <patternFill patternType="solid">
          <fgColor indexed="64"/>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896737757551322E-2"/>
          <c:y val="8.171206225680934E-2"/>
          <c:w val="0.9772775318264536"/>
          <c:h val="0.73929961089494167"/>
        </c:manualLayout>
      </c:layout>
      <c:lineChart>
        <c:grouping val="standard"/>
        <c:varyColors val="0"/>
        <c:ser>
          <c:idx val="0"/>
          <c:order val="0"/>
          <c:spPr>
            <a:ln w="12700">
              <a:solidFill>
                <a:srgbClr val="000000"/>
              </a:solidFill>
              <a:prstDash val="solid"/>
            </a:ln>
          </c:spPr>
          <c:marker>
            <c:symbol val="circle"/>
            <c:size val="6"/>
            <c:spPr>
              <a:solidFill>
                <a:srgbClr val="000000"/>
              </a:solidFill>
              <a:ln>
                <a:solidFill>
                  <a:srgbClr val="000000"/>
                </a:solidFill>
                <a:prstDash val="solid"/>
              </a:ln>
            </c:spPr>
          </c:marker>
          <c:val>
            <c:numRef>
              <c:f>'CAPABILITY STUDY'!$F$46:$DA$46</c:f>
              <c:numCache>
                <c:formatCode>0.0000</c:formatCode>
                <c:ptCount val="100"/>
              </c:numCache>
            </c:numRef>
          </c:val>
          <c:smooth val="0"/>
        </c:ser>
        <c:ser>
          <c:idx val="1"/>
          <c:order val="1"/>
          <c:spPr>
            <a:ln w="25400">
              <a:solidFill>
                <a:srgbClr val="FF0000"/>
              </a:solidFill>
              <a:prstDash val="solid"/>
            </a:ln>
          </c:spPr>
          <c:marker>
            <c:symbol val="dot"/>
            <c:size val="5"/>
            <c:spPr>
              <a:solidFill>
                <a:srgbClr val="FF0000"/>
              </a:solidFill>
              <a:ln>
                <a:solidFill>
                  <a:srgbClr val="FF0000"/>
                </a:solidFill>
                <a:prstDash val="solid"/>
              </a:ln>
            </c:spPr>
          </c:marker>
          <c:val>
            <c:numLit>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Lit>
          </c:val>
          <c:smooth val="0"/>
        </c:ser>
        <c:ser>
          <c:idx val="2"/>
          <c:order val="2"/>
          <c:spPr>
            <a:ln w="25400">
              <a:solidFill>
                <a:srgbClr val="FF0000"/>
              </a:solidFill>
              <a:prstDash val="solid"/>
            </a:ln>
          </c:spPr>
          <c:marker>
            <c:symbol val="dot"/>
            <c:size val="5"/>
            <c:spPr>
              <a:solidFill>
                <a:srgbClr val="FF0000"/>
              </a:solidFill>
              <a:ln>
                <a:solidFill>
                  <a:srgbClr val="FF0000"/>
                </a:solidFill>
                <a:prstDash val="solid"/>
              </a:ln>
            </c:spPr>
          </c:marker>
          <c:val>
            <c:numLit>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Lit>
          </c:val>
          <c:smooth val="0"/>
        </c:ser>
        <c:ser>
          <c:idx val="3"/>
          <c:order val="3"/>
          <c:spPr>
            <a:ln w="25400">
              <a:solidFill>
                <a:srgbClr val="000080"/>
              </a:solidFill>
              <a:prstDash val="solid"/>
            </a:ln>
          </c:spPr>
          <c:marker>
            <c:symbol val="dot"/>
            <c:size val="5"/>
            <c:spPr>
              <a:solidFill>
                <a:srgbClr val="000080"/>
              </a:solidFill>
              <a:ln>
                <a:solidFill>
                  <a:srgbClr val="000080"/>
                </a:solidFill>
                <a:prstDash val="solid"/>
              </a:ln>
            </c:spPr>
          </c:marker>
          <c:val>
            <c:numLit>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Lit>
          </c:val>
          <c:smooth val="0"/>
        </c:ser>
        <c:ser>
          <c:idx val="4"/>
          <c:order val="4"/>
          <c:spPr>
            <a:ln w="25400">
              <a:solidFill>
                <a:srgbClr val="000080"/>
              </a:solidFill>
              <a:prstDash val="lgDash"/>
            </a:ln>
          </c:spPr>
          <c:marker>
            <c:symbol val="dot"/>
            <c:size val="5"/>
            <c:spPr>
              <a:solidFill>
                <a:srgbClr val="000080"/>
              </a:solidFill>
              <a:ln>
                <a:solidFill>
                  <a:srgbClr val="000080"/>
                </a:solidFill>
                <a:prstDash val="solid"/>
              </a:ln>
            </c:spPr>
          </c:marker>
          <c:val>
            <c:numLit>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Lit>
          </c:val>
          <c:smooth val="0"/>
        </c:ser>
        <c:ser>
          <c:idx val="5"/>
          <c:order val="5"/>
          <c:spPr>
            <a:ln w="25400">
              <a:solidFill>
                <a:srgbClr val="000080"/>
              </a:solidFill>
              <a:prstDash val="lgDash"/>
            </a:ln>
          </c:spPr>
          <c:marker>
            <c:symbol val="dot"/>
            <c:size val="5"/>
            <c:spPr>
              <a:solidFill>
                <a:srgbClr val="000080"/>
              </a:solidFill>
              <a:ln>
                <a:solidFill>
                  <a:srgbClr val="000080"/>
                </a:solidFill>
                <a:prstDash val="solid"/>
              </a:ln>
            </c:spPr>
          </c:marker>
          <c:val>
            <c:numLit>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Lit>
          </c:val>
          <c:smooth val="0"/>
        </c:ser>
        <c:dLbls>
          <c:showLegendKey val="0"/>
          <c:showVal val="0"/>
          <c:showCatName val="0"/>
          <c:showSerName val="0"/>
          <c:showPercent val="0"/>
          <c:showBubbleSize val="0"/>
        </c:dLbls>
        <c:marker val="1"/>
        <c:smooth val="0"/>
        <c:axId val="1927064368"/>
        <c:axId val="1927060016"/>
      </c:lineChart>
      <c:catAx>
        <c:axId val="1927064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927060016"/>
        <c:crosses val="autoZero"/>
        <c:auto val="1"/>
        <c:lblAlgn val="ctr"/>
        <c:lblOffset val="100"/>
        <c:tickLblSkip val="1"/>
        <c:tickMarkSkip val="1"/>
        <c:noMultiLvlLbl val="0"/>
      </c:catAx>
      <c:valAx>
        <c:axId val="1927060016"/>
        <c:scaling>
          <c:orientation val="minMax"/>
        </c:scaling>
        <c:delete val="0"/>
        <c:axPos val="l"/>
        <c:majorGridlines>
          <c:spPr>
            <a:ln w="3175">
              <a:solidFill>
                <a:srgbClr val="000000"/>
              </a:solidFill>
              <a:prstDash val="solid"/>
            </a:ln>
          </c:spPr>
        </c:majorGridlines>
        <c:numFmt formatCode="0.0000" sourceLinked="1"/>
        <c:majorTickMark val="out"/>
        <c:minorTickMark val="none"/>
        <c:tickLblPos val="nextTo"/>
        <c:spPr>
          <a:ln w="3175">
            <a:solidFill>
              <a:srgbClr val="000000"/>
            </a:solidFill>
            <a:prstDash val="solid"/>
          </a:ln>
        </c:spPr>
        <c:txPr>
          <a:bodyPr rot="0" vert="horz"/>
          <a:lstStyle/>
          <a:p>
            <a:pPr>
              <a:defRPr sz="950" b="1" i="0" u="none" strike="noStrike" baseline="0">
                <a:solidFill>
                  <a:srgbClr val="000000"/>
                </a:solidFill>
                <a:latin typeface="Arial"/>
                <a:ea typeface="Arial"/>
                <a:cs typeface="Arial"/>
              </a:defRPr>
            </a:pPr>
            <a:endParaRPr lang="en-US"/>
          </a:p>
        </c:txPr>
        <c:crossAx val="1927064368"/>
        <c:crosses val="autoZero"/>
        <c:crossBetween val="between"/>
      </c:valAx>
      <c:spPr>
        <a:gradFill rotWithShape="0">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ECECEC" mc:Ignorable="a14" a14:legacySpreadsheetColorIndex="22">
                <a:gamma/>
                <a:tint val="30196"/>
                <a:invGamma/>
              </a:srgbClr>
            </a:gs>
          </a:gsLst>
          <a:lin ang="5400000" scaled="1"/>
        </a:gradFill>
        <a:ln w="12700">
          <a:solidFill>
            <a:srgbClr val="808080"/>
          </a:solidFill>
          <a:prstDash val="solid"/>
        </a:ln>
      </c:spPr>
    </c:plotArea>
    <c:plotVisOnly val="1"/>
    <c:dispBlanksAs val="gap"/>
    <c:showDLblsOverMax val="0"/>
  </c:chart>
  <c:spPr>
    <a:gradFill rotWithShape="0">
      <a:gsLst>
        <a:gs pos="0">
          <a:srgbClr xmlns:mc="http://schemas.openxmlformats.org/markup-compatibility/2006" xmlns:a14="http://schemas.microsoft.com/office/drawing/2010/main" val="969696" mc:Ignorable="a14" a14:legacySpreadsheetColorIndex="55"/>
        </a:gs>
        <a:gs pos="100000">
          <a:srgbClr xmlns:mc="http://schemas.openxmlformats.org/markup-compatibility/2006" xmlns:a14="http://schemas.microsoft.com/office/drawing/2010/main" val="FFFFFF" mc:Ignorable="a14" a14:legacySpreadsheetColorIndex="9"/>
        </a:gs>
      </a:gsLst>
      <a:path path="rect">
        <a:fillToRect r="100000" b="100000"/>
      </a:path>
    </a:gradFill>
    <a:ln w="38100">
      <a:solidFill>
        <a:srgbClr val="000000"/>
      </a:solidFill>
      <a:prstDash val="solid"/>
    </a:ln>
    <a:effectLst>
      <a:outerShdw dist="35921" dir="2700000" algn="br">
        <a:srgbClr val="000000"/>
      </a:outerShdw>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3"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Scatter Plot</a:t>
            </a:r>
          </a:p>
        </c:rich>
      </c:tx>
      <c:layout>
        <c:manualLayout>
          <c:xMode val="edge"/>
          <c:yMode val="edge"/>
          <c:x val="0.40697674418604651"/>
          <c:y val="3.5714285714285712E-2"/>
        </c:manualLayout>
      </c:layout>
      <c:overlay val="0"/>
      <c:spPr>
        <a:noFill/>
        <a:ln w="25400">
          <a:noFill/>
        </a:ln>
      </c:spPr>
    </c:title>
    <c:autoTitleDeleted val="0"/>
    <c:plotArea>
      <c:layout>
        <c:manualLayout>
          <c:layoutTarget val="inner"/>
          <c:xMode val="edge"/>
          <c:yMode val="edge"/>
          <c:x val="0.10299003322259151"/>
          <c:y val="0.23376623376623445"/>
          <c:w val="0.87375415282392144"/>
          <c:h val="0.59740259740259738"/>
        </c:manualLayout>
      </c:layout>
      <c:lineChart>
        <c:grouping val="standard"/>
        <c:varyColors val="0"/>
        <c:ser>
          <c:idx val="0"/>
          <c:order val="0"/>
          <c:tx>
            <c:v>Appr A</c:v>
          </c:tx>
          <c:spPr>
            <a:ln w="12700">
              <a:solidFill>
                <a:srgbClr val="000080"/>
              </a:solidFill>
              <a:prstDash val="solid"/>
            </a:ln>
          </c:spPr>
          <c:marker>
            <c:symbol val="diamond"/>
            <c:size val="5"/>
            <c:spPr>
              <a:solidFill>
                <a:srgbClr val="000080"/>
              </a:solidFill>
              <a:ln>
                <a:solidFill>
                  <a:srgbClr val="000080"/>
                </a:solidFill>
                <a:prstDash val="solid"/>
              </a:ln>
            </c:spPr>
          </c:marker>
          <c:cat>
            <c:strRef>
              <c:f>Graphical!$Q$161:$BI$161</c:f>
              <c:strCache>
                <c:ptCount val="41"/>
                <c:pt idx="4">
                  <c:v>Part 1</c:v>
                </c:pt>
                <c:pt idx="13">
                  <c:v>Part 2</c:v>
                </c:pt>
                <c:pt idx="22">
                  <c:v>Part 3</c:v>
                </c:pt>
                <c:pt idx="31">
                  <c:v>Part 4</c:v>
                </c:pt>
                <c:pt idx="40">
                  <c:v>Part 5</c:v>
                </c:pt>
              </c:strCache>
            </c:strRef>
          </c:cat>
          <c:val>
            <c:numRef>
              <c:f>Graphical!$Q$163:$BI$163</c:f>
              <c:numCache>
                <c:formatCode>0.00</c:formatCode>
                <c:ptCount val="45"/>
                <c:pt idx="0">
                  <c:v>0</c:v>
                </c:pt>
                <c:pt idx="1">
                  <c:v>0</c:v>
                </c:pt>
                <c:pt idx="2">
                  <c:v>0</c:v>
                </c:pt>
                <c:pt idx="9">
                  <c:v>0</c:v>
                </c:pt>
                <c:pt idx="10">
                  <c:v>0</c:v>
                </c:pt>
                <c:pt idx="11">
                  <c:v>0</c:v>
                </c:pt>
                <c:pt idx="18">
                  <c:v>0</c:v>
                </c:pt>
                <c:pt idx="19">
                  <c:v>0</c:v>
                </c:pt>
                <c:pt idx="20">
                  <c:v>0</c:v>
                </c:pt>
                <c:pt idx="27">
                  <c:v>0</c:v>
                </c:pt>
                <c:pt idx="28">
                  <c:v>0</c:v>
                </c:pt>
                <c:pt idx="29">
                  <c:v>0</c:v>
                </c:pt>
                <c:pt idx="36">
                  <c:v>0</c:v>
                </c:pt>
                <c:pt idx="37">
                  <c:v>0</c:v>
                </c:pt>
                <c:pt idx="38">
                  <c:v>0</c:v>
                </c:pt>
              </c:numCache>
            </c:numRef>
          </c:val>
          <c:smooth val="0"/>
        </c:ser>
        <c:ser>
          <c:idx val="1"/>
          <c:order val="1"/>
          <c:tx>
            <c:v>Appr B</c:v>
          </c:tx>
          <c:spPr>
            <a:ln w="12700">
              <a:solidFill>
                <a:srgbClr val="339933"/>
              </a:solidFill>
              <a:prstDash val="solid"/>
            </a:ln>
          </c:spPr>
          <c:marker>
            <c:symbol val="square"/>
            <c:size val="5"/>
            <c:spPr>
              <a:solidFill>
                <a:srgbClr val="339933"/>
              </a:solidFill>
              <a:ln>
                <a:solidFill>
                  <a:srgbClr val="339933"/>
                </a:solidFill>
                <a:prstDash val="solid"/>
              </a:ln>
            </c:spPr>
          </c:marker>
          <c:val>
            <c:numRef>
              <c:f>Graphical!$Q$164:$BI$164</c:f>
              <c:numCache>
                <c:formatCode>General</c:formatCode>
                <c:ptCount val="45"/>
                <c:pt idx="3" formatCode="0.00">
                  <c:v>0</c:v>
                </c:pt>
                <c:pt idx="4" formatCode="0.00">
                  <c:v>0</c:v>
                </c:pt>
                <c:pt idx="5" formatCode="0.00">
                  <c:v>0</c:v>
                </c:pt>
                <c:pt idx="12" formatCode="0.00">
                  <c:v>0</c:v>
                </c:pt>
                <c:pt idx="13" formatCode="0.00">
                  <c:v>0</c:v>
                </c:pt>
                <c:pt idx="14" formatCode="0.00">
                  <c:v>0</c:v>
                </c:pt>
                <c:pt idx="21" formatCode="0.00">
                  <c:v>0</c:v>
                </c:pt>
                <c:pt idx="22" formatCode="0.00">
                  <c:v>0</c:v>
                </c:pt>
                <c:pt idx="23" formatCode="0.00">
                  <c:v>0</c:v>
                </c:pt>
                <c:pt idx="30" formatCode="0.00">
                  <c:v>0</c:v>
                </c:pt>
                <c:pt idx="31" formatCode="0.00">
                  <c:v>0</c:v>
                </c:pt>
                <c:pt idx="32" formatCode="0.00">
                  <c:v>0</c:v>
                </c:pt>
                <c:pt idx="39" formatCode="0.00">
                  <c:v>0</c:v>
                </c:pt>
                <c:pt idx="40" formatCode="0.00">
                  <c:v>0</c:v>
                </c:pt>
                <c:pt idx="41" formatCode="0.00">
                  <c:v>0</c:v>
                </c:pt>
              </c:numCache>
            </c:numRef>
          </c:val>
          <c:smooth val="0"/>
        </c:ser>
        <c:ser>
          <c:idx val="2"/>
          <c:order val="2"/>
          <c:tx>
            <c:v>Appr C</c:v>
          </c:tx>
          <c:spPr>
            <a:ln w="12700">
              <a:solidFill>
                <a:srgbClr val="FF0000"/>
              </a:solidFill>
              <a:prstDash val="solid"/>
            </a:ln>
          </c:spPr>
          <c:marker>
            <c:symbol val="triangle"/>
            <c:size val="5"/>
            <c:spPr>
              <a:solidFill>
                <a:srgbClr val="FF0000"/>
              </a:solidFill>
              <a:ln>
                <a:solidFill>
                  <a:srgbClr val="FF0000"/>
                </a:solidFill>
                <a:prstDash val="solid"/>
              </a:ln>
            </c:spPr>
          </c:marker>
          <c:val>
            <c:numRef>
              <c:f>Graphical!$Q$165:$BI$165</c:f>
              <c:numCache>
                <c:formatCode>General</c:formatCode>
                <c:ptCount val="45"/>
                <c:pt idx="6" formatCode="0.00">
                  <c:v>0</c:v>
                </c:pt>
                <c:pt idx="7" formatCode="0.00">
                  <c:v>0</c:v>
                </c:pt>
                <c:pt idx="8" formatCode="0.00">
                  <c:v>0</c:v>
                </c:pt>
                <c:pt idx="15" formatCode="0.00">
                  <c:v>0</c:v>
                </c:pt>
                <c:pt idx="16" formatCode="0.00">
                  <c:v>0</c:v>
                </c:pt>
                <c:pt idx="17" formatCode="0.00">
                  <c:v>0</c:v>
                </c:pt>
                <c:pt idx="24" formatCode="0.00">
                  <c:v>0</c:v>
                </c:pt>
                <c:pt idx="25" formatCode="0.00">
                  <c:v>0</c:v>
                </c:pt>
                <c:pt idx="26" formatCode="0.00">
                  <c:v>0</c:v>
                </c:pt>
                <c:pt idx="33" formatCode="0.00">
                  <c:v>0</c:v>
                </c:pt>
                <c:pt idx="34" formatCode="0.00">
                  <c:v>0</c:v>
                </c:pt>
                <c:pt idx="35" formatCode="0.00">
                  <c:v>0</c:v>
                </c:pt>
                <c:pt idx="42" formatCode="0.00">
                  <c:v>0</c:v>
                </c:pt>
                <c:pt idx="43" formatCode="0.00">
                  <c:v>0</c:v>
                </c:pt>
                <c:pt idx="44" formatCode="0.00">
                  <c:v>0</c:v>
                </c:pt>
              </c:numCache>
            </c:numRef>
          </c:val>
          <c:smooth val="0"/>
        </c:ser>
        <c:dLbls>
          <c:showLegendKey val="0"/>
          <c:showVal val="0"/>
          <c:showCatName val="0"/>
          <c:showSerName val="0"/>
          <c:showPercent val="0"/>
          <c:showBubbleSize val="0"/>
        </c:dLbls>
        <c:marker val="1"/>
        <c:smooth val="0"/>
        <c:axId val="1927073072"/>
        <c:axId val="1927072528"/>
      </c:lineChart>
      <c:catAx>
        <c:axId val="1927073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927072528"/>
        <c:crosses val="autoZero"/>
        <c:auto val="1"/>
        <c:lblAlgn val="ctr"/>
        <c:lblOffset val="100"/>
        <c:tickLblSkip val="2"/>
        <c:tickMarkSkip val="1"/>
        <c:noMultiLvlLbl val="0"/>
      </c:catAx>
      <c:valAx>
        <c:axId val="1927072528"/>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9270730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Scatter Plot</a:t>
            </a:r>
          </a:p>
        </c:rich>
      </c:tx>
      <c:layout>
        <c:manualLayout>
          <c:xMode val="edge"/>
          <c:yMode val="edge"/>
          <c:x val="0.40796089543533426"/>
          <c:y val="3.5947712418300651E-2"/>
        </c:manualLayout>
      </c:layout>
      <c:overlay val="0"/>
      <c:spPr>
        <a:noFill/>
        <a:ln w="25400">
          <a:noFill/>
        </a:ln>
      </c:spPr>
    </c:title>
    <c:autoTitleDeleted val="0"/>
    <c:plotArea>
      <c:layout>
        <c:manualLayout>
          <c:layoutTarget val="inner"/>
          <c:xMode val="edge"/>
          <c:yMode val="edge"/>
          <c:x val="0.1028194036643014"/>
          <c:y val="0.23529486856256604"/>
          <c:w val="0.87396493114656393"/>
          <c:h val="0.57516523426404964"/>
        </c:manualLayout>
      </c:layout>
      <c:lineChart>
        <c:grouping val="standard"/>
        <c:varyColors val="0"/>
        <c:ser>
          <c:idx val="0"/>
          <c:order val="0"/>
          <c:tx>
            <c:v>Appr A</c:v>
          </c:tx>
          <c:spPr>
            <a:ln w="12700">
              <a:solidFill>
                <a:srgbClr val="000080"/>
              </a:solidFill>
              <a:prstDash val="solid"/>
            </a:ln>
          </c:spPr>
          <c:marker>
            <c:symbol val="diamond"/>
            <c:size val="5"/>
            <c:spPr>
              <a:solidFill>
                <a:srgbClr val="000080"/>
              </a:solidFill>
              <a:ln>
                <a:solidFill>
                  <a:srgbClr val="000080"/>
                </a:solidFill>
                <a:prstDash val="solid"/>
              </a:ln>
            </c:spPr>
          </c:marker>
          <c:cat>
            <c:strRef>
              <c:f>Graphical!$Q$167:$BI$167</c:f>
              <c:strCache>
                <c:ptCount val="41"/>
                <c:pt idx="4">
                  <c:v>Part 6</c:v>
                </c:pt>
                <c:pt idx="13">
                  <c:v>Part 7</c:v>
                </c:pt>
                <c:pt idx="22">
                  <c:v>Part 8</c:v>
                </c:pt>
                <c:pt idx="31">
                  <c:v>Part 9</c:v>
                </c:pt>
                <c:pt idx="40">
                  <c:v>Part 10</c:v>
                </c:pt>
              </c:strCache>
            </c:strRef>
          </c:cat>
          <c:val>
            <c:numRef>
              <c:f>Graphical!$Q$169:$BI$169</c:f>
              <c:numCache>
                <c:formatCode>0.00</c:formatCode>
                <c:ptCount val="45"/>
                <c:pt idx="0">
                  <c:v>0</c:v>
                </c:pt>
                <c:pt idx="1">
                  <c:v>0</c:v>
                </c:pt>
                <c:pt idx="2">
                  <c:v>0</c:v>
                </c:pt>
                <c:pt idx="9">
                  <c:v>0</c:v>
                </c:pt>
                <c:pt idx="10">
                  <c:v>0</c:v>
                </c:pt>
                <c:pt idx="11">
                  <c:v>0</c:v>
                </c:pt>
                <c:pt idx="18">
                  <c:v>0</c:v>
                </c:pt>
                <c:pt idx="19">
                  <c:v>0</c:v>
                </c:pt>
                <c:pt idx="20">
                  <c:v>0</c:v>
                </c:pt>
                <c:pt idx="27">
                  <c:v>0</c:v>
                </c:pt>
                <c:pt idx="28">
                  <c:v>0</c:v>
                </c:pt>
                <c:pt idx="29">
                  <c:v>0</c:v>
                </c:pt>
                <c:pt idx="36">
                  <c:v>0</c:v>
                </c:pt>
                <c:pt idx="37">
                  <c:v>0</c:v>
                </c:pt>
                <c:pt idx="38">
                  <c:v>0</c:v>
                </c:pt>
              </c:numCache>
            </c:numRef>
          </c:val>
          <c:smooth val="0"/>
        </c:ser>
        <c:ser>
          <c:idx val="1"/>
          <c:order val="1"/>
          <c:tx>
            <c:v>Appr B</c:v>
          </c:tx>
          <c:spPr>
            <a:ln w="12700">
              <a:solidFill>
                <a:srgbClr val="339933"/>
              </a:solidFill>
              <a:prstDash val="solid"/>
            </a:ln>
          </c:spPr>
          <c:marker>
            <c:symbol val="square"/>
            <c:size val="5"/>
            <c:spPr>
              <a:solidFill>
                <a:srgbClr val="339933"/>
              </a:solidFill>
              <a:ln>
                <a:solidFill>
                  <a:srgbClr val="339933"/>
                </a:solidFill>
                <a:prstDash val="solid"/>
              </a:ln>
            </c:spPr>
          </c:marker>
          <c:cat>
            <c:strRef>
              <c:f>Graphical!$Q$167:$BI$167</c:f>
              <c:strCache>
                <c:ptCount val="41"/>
                <c:pt idx="4">
                  <c:v>Part 6</c:v>
                </c:pt>
                <c:pt idx="13">
                  <c:v>Part 7</c:v>
                </c:pt>
                <c:pt idx="22">
                  <c:v>Part 8</c:v>
                </c:pt>
                <c:pt idx="31">
                  <c:v>Part 9</c:v>
                </c:pt>
                <c:pt idx="40">
                  <c:v>Part 10</c:v>
                </c:pt>
              </c:strCache>
            </c:strRef>
          </c:cat>
          <c:val>
            <c:numRef>
              <c:f>Graphical!$Q$170:$BI$170</c:f>
              <c:numCache>
                <c:formatCode>General</c:formatCode>
                <c:ptCount val="45"/>
                <c:pt idx="3" formatCode="0.00">
                  <c:v>0</c:v>
                </c:pt>
                <c:pt idx="4" formatCode="0.00">
                  <c:v>0</c:v>
                </c:pt>
                <c:pt idx="5" formatCode="0.00">
                  <c:v>0</c:v>
                </c:pt>
                <c:pt idx="12" formatCode="0.00">
                  <c:v>0</c:v>
                </c:pt>
                <c:pt idx="13" formatCode="0.00">
                  <c:v>0</c:v>
                </c:pt>
                <c:pt idx="14" formatCode="0.00">
                  <c:v>0</c:v>
                </c:pt>
                <c:pt idx="21" formatCode="0.00">
                  <c:v>0</c:v>
                </c:pt>
                <c:pt idx="22" formatCode="0.00">
                  <c:v>0</c:v>
                </c:pt>
                <c:pt idx="23" formatCode="0.00">
                  <c:v>0</c:v>
                </c:pt>
                <c:pt idx="30" formatCode="0.00">
                  <c:v>0</c:v>
                </c:pt>
                <c:pt idx="31" formatCode="0.00">
                  <c:v>0</c:v>
                </c:pt>
                <c:pt idx="32" formatCode="0.00">
                  <c:v>0</c:v>
                </c:pt>
                <c:pt idx="39" formatCode="0.00">
                  <c:v>0</c:v>
                </c:pt>
                <c:pt idx="40" formatCode="0.00">
                  <c:v>0</c:v>
                </c:pt>
                <c:pt idx="41" formatCode="0.00">
                  <c:v>0</c:v>
                </c:pt>
              </c:numCache>
            </c:numRef>
          </c:val>
          <c:smooth val="0"/>
        </c:ser>
        <c:ser>
          <c:idx val="2"/>
          <c:order val="2"/>
          <c:tx>
            <c:v>Appr C</c:v>
          </c:tx>
          <c:spPr>
            <a:ln w="12700">
              <a:solidFill>
                <a:srgbClr val="FF0000"/>
              </a:solidFill>
              <a:prstDash val="solid"/>
            </a:ln>
          </c:spPr>
          <c:marker>
            <c:symbol val="triangle"/>
            <c:size val="5"/>
            <c:spPr>
              <a:solidFill>
                <a:srgbClr val="FF0000"/>
              </a:solidFill>
              <a:ln>
                <a:solidFill>
                  <a:srgbClr val="FF0000"/>
                </a:solidFill>
                <a:prstDash val="solid"/>
              </a:ln>
            </c:spPr>
          </c:marker>
          <c:cat>
            <c:strRef>
              <c:f>Graphical!$Q$167:$BI$167</c:f>
              <c:strCache>
                <c:ptCount val="41"/>
                <c:pt idx="4">
                  <c:v>Part 6</c:v>
                </c:pt>
                <c:pt idx="13">
                  <c:v>Part 7</c:v>
                </c:pt>
                <c:pt idx="22">
                  <c:v>Part 8</c:v>
                </c:pt>
                <c:pt idx="31">
                  <c:v>Part 9</c:v>
                </c:pt>
                <c:pt idx="40">
                  <c:v>Part 10</c:v>
                </c:pt>
              </c:strCache>
            </c:strRef>
          </c:cat>
          <c:val>
            <c:numRef>
              <c:f>Graphical!$Q$171:$BI$171</c:f>
              <c:numCache>
                <c:formatCode>General</c:formatCode>
                <c:ptCount val="45"/>
                <c:pt idx="6" formatCode="0.00">
                  <c:v>0</c:v>
                </c:pt>
                <c:pt idx="7" formatCode="0.00">
                  <c:v>0</c:v>
                </c:pt>
                <c:pt idx="8" formatCode="0.00">
                  <c:v>0</c:v>
                </c:pt>
                <c:pt idx="15" formatCode="0.00">
                  <c:v>0</c:v>
                </c:pt>
                <c:pt idx="16" formatCode="0.00">
                  <c:v>0</c:v>
                </c:pt>
                <c:pt idx="17" formatCode="0.00">
                  <c:v>0</c:v>
                </c:pt>
                <c:pt idx="24" formatCode="0.00">
                  <c:v>0</c:v>
                </c:pt>
                <c:pt idx="25" formatCode="0.00">
                  <c:v>0</c:v>
                </c:pt>
                <c:pt idx="26" formatCode="0.00">
                  <c:v>0</c:v>
                </c:pt>
                <c:pt idx="33" formatCode="0.00">
                  <c:v>0</c:v>
                </c:pt>
                <c:pt idx="34" formatCode="0.00">
                  <c:v>0</c:v>
                </c:pt>
                <c:pt idx="35" formatCode="0.00">
                  <c:v>0</c:v>
                </c:pt>
                <c:pt idx="42" formatCode="0.00">
                  <c:v>0</c:v>
                </c:pt>
                <c:pt idx="43" formatCode="0.00">
                  <c:v>0</c:v>
                </c:pt>
                <c:pt idx="44" formatCode="0.00">
                  <c:v>0</c:v>
                </c:pt>
              </c:numCache>
            </c:numRef>
          </c:val>
          <c:smooth val="0"/>
        </c:ser>
        <c:dLbls>
          <c:showLegendKey val="0"/>
          <c:showVal val="0"/>
          <c:showCatName val="0"/>
          <c:showSerName val="0"/>
          <c:showPercent val="0"/>
          <c:showBubbleSize val="0"/>
        </c:dLbls>
        <c:marker val="1"/>
        <c:smooth val="0"/>
        <c:axId val="1751627168"/>
        <c:axId val="1696870016"/>
      </c:lineChart>
      <c:catAx>
        <c:axId val="1751627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696870016"/>
        <c:crosses val="autoZero"/>
        <c:auto val="1"/>
        <c:lblAlgn val="ctr"/>
        <c:lblOffset val="100"/>
        <c:tickLblSkip val="2"/>
        <c:tickMarkSkip val="1"/>
        <c:noMultiLvlLbl val="0"/>
      </c:catAx>
      <c:valAx>
        <c:axId val="1696870016"/>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75162716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US"/>
              <a:t>Whiskers Chart - Appraiser A</a:t>
            </a:r>
          </a:p>
        </c:rich>
      </c:tx>
      <c:layout>
        <c:manualLayout>
          <c:xMode val="edge"/>
          <c:yMode val="edge"/>
          <c:x val="0.34876033057851241"/>
          <c:y val="4.1860465116279069E-2"/>
        </c:manualLayout>
      </c:layout>
      <c:overlay val="0"/>
      <c:spPr>
        <a:noFill/>
        <a:ln w="25400">
          <a:noFill/>
        </a:ln>
      </c:spPr>
    </c:title>
    <c:autoTitleDeleted val="0"/>
    <c:plotArea>
      <c:layout>
        <c:manualLayout>
          <c:layoutTarget val="inner"/>
          <c:xMode val="edge"/>
          <c:yMode val="edge"/>
          <c:x val="7.6033057851239857E-2"/>
          <c:y val="0.26046511627906982"/>
          <c:w val="0.88760330578512359"/>
          <c:h val="0.54883720930232549"/>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errBars>
            <c:errDir val="y"/>
            <c:errBarType val="both"/>
            <c:errValType val="cust"/>
            <c:noEndCap val="0"/>
            <c:plus>
              <c:numRef>
                <c:f>Graphical!$R$207:$AA$207</c:f>
                <c:numCache>
                  <c:formatCode>General</c:formatCode>
                  <c:ptCount val="10"/>
                  <c:pt idx="0">
                    <c:v>0</c:v>
                  </c:pt>
                  <c:pt idx="1">
                    <c:v>0</c:v>
                  </c:pt>
                  <c:pt idx="2">
                    <c:v>0</c:v>
                  </c:pt>
                  <c:pt idx="3">
                    <c:v>0</c:v>
                  </c:pt>
                  <c:pt idx="4">
                    <c:v>0</c:v>
                  </c:pt>
                  <c:pt idx="5">
                    <c:v>0</c:v>
                  </c:pt>
                  <c:pt idx="6">
                    <c:v>0</c:v>
                  </c:pt>
                  <c:pt idx="7">
                    <c:v>0</c:v>
                  </c:pt>
                  <c:pt idx="8">
                    <c:v>0</c:v>
                  </c:pt>
                  <c:pt idx="9">
                    <c:v>0</c:v>
                  </c:pt>
                </c:numCache>
              </c:numRef>
            </c:plus>
            <c:minus>
              <c:numRef>
                <c:f>Graphical!$R$209:$AA$209</c:f>
                <c:numCache>
                  <c:formatCode>General</c:formatCode>
                  <c:ptCount val="10"/>
                  <c:pt idx="0">
                    <c:v>0</c:v>
                  </c:pt>
                  <c:pt idx="1">
                    <c:v>0</c:v>
                  </c:pt>
                  <c:pt idx="2">
                    <c:v>0</c:v>
                  </c:pt>
                  <c:pt idx="3">
                    <c:v>0</c:v>
                  </c:pt>
                  <c:pt idx="4">
                    <c:v>0</c:v>
                  </c:pt>
                  <c:pt idx="5">
                    <c:v>0</c:v>
                  </c:pt>
                  <c:pt idx="6">
                    <c:v>0</c:v>
                  </c:pt>
                  <c:pt idx="7">
                    <c:v>0</c:v>
                  </c:pt>
                  <c:pt idx="8">
                    <c:v>0</c:v>
                  </c:pt>
                  <c:pt idx="9">
                    <c:v>0</c:v>
                  </c:pt>
                </c:numCache>
              </c:numRef>
            </c:minus>
            <c:spPr>
              <a:ln w="12700">
                <a:solidFill>
                  <a:srgbClr val="000000"/>
                </a:solidFill>
                <a:prstDash val="solid"/>
              </a:ln>
            </c:spPr>
          </c:errBars>
          <c:xVal>
            <c:numRef>
              <c:f>Graphical!$R$205:$AA$205</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Graphical!$C$22:$L$22</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1696874912"/>
        <c:axId val="1696862400"/>
      </c:scatterChart>
      <c:valAx>
        <c:axId val="1696874912"/>
        <c:scaling>
          <c:orientation val="minMax"/>
          <c:max val="10"/>
          <c:min val="1"/>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696862400"/>
        <c:crosses val="autoZero"/>
        <c:crossBetween val="midCat"/>
        <c:majorUnit val="1"/>
        <c:minorUnit val="1"/>
      </c:valAx>
      <c:valAx>
        <c:axId val="1696862400"/>
        <c:scaling>
          <c:orientation val="minMax"/>
        </c:scaling>
        <c:delete val="0"/>
        <c:axPos val="l"/>
        <c:majorGridlines>
          <c:spPr>
            <a:ln w="3175">
              <a:solidFill>
                <a:srgbClr val="FFFFFF"/>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69687491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Whiskers Chart - Appraiser B</a:t>
            </a:r>
          </a:p>
        </c:rich>
      </c:tx>
      <c:layout>
        <c:manualLayout>
          <c:xMode val="edge"/>
          <c:yMode val="edge"/>
          <c:x val="0.34818533821886122"/>
          <c:y val="4.1095890410958902E-2"/>
        </c:manualLayout>
      </c:layout>
      <c:overlay val="0"/>
      <c:spPr>
        <a:noFill/>
        <a:ln w="25400">
          <a:noFill/>
        </a:ln>
      </c:spPr>
    </c:title>
    <c:autoTitleDeleted val="0"/>
    <c:plotArea>
      <c:layout>
        <c:manualLayout>
          <c:layoutTarget val="inner"/>
          <c:xMode val="edge"/>
          <c:yMode val="edge"/>
          <c:x val="7.5907713083541523E-2"/>
          <c:y val="0.25570890281153125"/>
          <c:w val="0.88779020954228793"/>
          <c:h val="0.55708010969655053"/>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errBars>
            <c:errDir val="y"/>
            <c:errBarType val="both"/>
            <c:errValType val="cust"/>
            <c:noEndCap val="1"/>
            <c:plus>
              <c:numRef>
                <c:f>Graphical!$R$211:$AA$211</c:f>
                <c:numCache>
                  <c:formatCode>General</c:formatCode>
                  <c:ptCount val="10"/>
                  <c:pt idx="0">
                    <c:v>0</c:v>
                  </c:pt>
                  <c:pt idx="1">
                    <c:v>0</c:v>
                  </c:pt>
                  <c:pt idx="2">
                    <c:v>0</c:v>
                  </c:pt>
                  <c:pt idx="3">
                    <c:v>0</c:v>
                  </c:pt>
                  <c:pt idx="4">
                    <c:v>0</c:v>
                  </c:pt>
                  <c:pt idx="5">
                    <c:v>0</c:v>
                  </c:pt>
                  <c:pt idx="6">
                    <c:v>0</c:v>
                  </c:pt>
                  <c:pt idx="7">
                    <c:v>0</c:v>
                  </c:pt>
                  <c:pt idx="8">
                    <c:v>0</c:v>
                  </c:pt>
                  <c:pt idx="9">
                    <c:v>0</c:v>
                  </c:pt>
                </c:numCache>
              </c:numRef>
            </c:plus>
            <c:minus>
              <c:numRef>
                <c:f>Graphical!$R$213:$AA$213</c:f>
                <c:numCache>
                  <c:formatCode>General</c:formatCode>
                  <c:ptCount val="10"/>
                  <c:pt idx="0">
                    <c:v>0</c:v>
                  </c:pt>
                  <c:pt idx="1">
                    <c:v>0</c:v>
                  </c:pt>
                  <c:pt idx="2">
                    <c:v>0</c:v>
                  </c:pt>
                  <c:pt idx="3">
                    <c:v>0</c:v>
                  </c:pt>
                  <c:pt idx="4">
                    <c:v>0</c:v>
                  </c:pt>
                  <c:pt idx="5">
                    <c:v>0</c:v>
                  </c:pt>
                  <c:pt idx="6">
                    <c:v>0</c:v>
                  </c:pt>
                  <c:pt idx="7">
                    <c:v>0</c:v>
                  </c:pt>
                  <c:pt idx="8">
                    <c:v>0</c:v>
                  </c:pt>
                  <c:pt idx="9">
                    <c:v>0</c:v>
                  </c:pt>
                </c:numCache>
              </c:numRef>
            </c:minus>
            <c:spPr>
              <a:ln w="12700">
                <a:solidFill>
                  <a:srgbClr val="000000"/>
                </a:solidFill>
                <a:prstDash val="solid"/>
              </a:ln>
            </c:spPr>
          </c:errBars>
          <c:xVal>
            <c:numRef>
              <c:f>Graphical!$R$205:$AA$205</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Graphical!$C$27:$L$27</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1696876544"/>
        <c:axId val="1696871648"/>
      </c:scatterChart>
      <c:valAx>
        <c:axId val="1696876544"/>
        <c:scaling>
          <c:orientation val="minMax"/>
          <c:max val="10"/>
          <c:min val="1"/>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696871648"/>
        <c:crosses val="autoZero"/>
        <c:crossBetween val="midCat"/>
        <c:majorUnit val="1"/>
        <c:minorUnit val="1"/>
      </c:valAx>
      <c:valAx>
        <c:axId val="1696871648"/>
        <c:scaling>
          <c:orientation val="minMax"/>
        </c:scaling>
        <c:delete val="0"/>
        <c:axPos val="l"/>
        <c:majorGridlines>
          <c:spPr>
            <a:ln w="3175">
              <a:solidFill>
                <a:srgbClr val="FFFFFF"/>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69687654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Whiskers Chart - Appraiser C</a:t>
            </a:r>
          </a:p>
        </c:rich>
      </c:tx>
      <c:layout>
        <c:manualLayout>
          <c:xMode val="edge"/>
          <c:yMode val="edge"/>
          <c:x val="0.34925899501442054"/>
          <c:y val="4.1095890410958902E-2"/>
        </c:manualLayout>
      </c:layout>
      <c:overlay val="0"/>
      <c:spPr>
        <a:noFill/>
        <a:ln w="25400">
          <a:noFill/>
        </a:ln>
      </c:spPr>
    </c:title>
    <c:autoTitleDeleted val="0"/>
    <c:plotArea>
      <c:layout>
        <c:manualLayout>
          <c:layoutTarget val="inner"/>
          <c:xMode val="edge"/>
          <c:yMode val="edge"/>
          <c:x val="7.5782598028371964E-2"/>
          <c:y val="0.25570890281153125"/>
          <c:w val="0.88797435515853063"/>
          <c:h val="0.55708010969655053"/>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errBars>
            <c:errDir val="y"/>
            <c:errBarType val="both"/>
            <c:errValType val="cust"/>
            <c:noEndCap val="0"/>
            <c:plus>
              <c:numRef>
                <c:f>Graphical!$R$215:$AA$215</c:f>
                <c:numCache>
                  <c:formatCode>General</c:formatCode>
                  <c:ptCount val="10"/>
                  <c:pt idx="0">
                    <c:v>0</c:v>
                  </c:pt>
                  <c:pt idx="1">
                    <c:v>0</c:v>
                  </c:pt>
                  <c:pt idx="2">
                    <c:v>0</c:v>
                  </c:pt>
                  <c:pt idx="3">
                    <c:v>0</c:v>
                  </c:pt>
                  <c:pt idx="4">
                    <c:v>0</c:v>
                  </c:pt>
                  <c:pt idx="5">
                    <c:v>0</c:v>
                  </c:pt>
                  <c:pt idx="6">
                    <c:v>0</c:v>
                  </c:pt>
                  <c:pt idx="7">
                    <c:v>0</c:v>
                  </c:pt>
                  <c:pt idx="8">
                    <c:v>0</c:v>
                  </c:pt>
                  <c:pt idx="9">
                    <c:v>0</c:v>
                  </c:pt>
                </c:numCache>
              </c:numRef>
            </c:plus>
            <c:minus>
              <c:numRef>
                <c:f>Graphical!$R$217:$AA$217</c:f>
                <c:numCache>
                  <c:formatCode>General</c:formatCode>
                  <c:ptCount val="10"/>
                  <c:pt idx="0">
                    <c:v>0</c:v>
                  </c:pt>
                  <c:pt idx="1">
                    <c:v>0</c:v>
                  </c:pt>
                  <c:pt idx="2">
                    <c:v>0</c:v>
                  </c:pt>
                  <c:pt idx="3">
                    <c:v>0</c:v>
                  </c:pt>
                  <c:pt idx="4">
                    <c:v>0</c:v>
                  </c:pt>
                  <c:pt idx="5">
                    <c:v>0</c:v>
                  </c:pt>
                  <c:pt idx="6">
                    <c:v>0</c:v>
                  </c:pt>
                  <c:pt idx="7">
                    <c:v>0</c:v>
                  </c:pt>
                  <c:pt idx="8">
                    <c:v>0</c:v>
                  </c:pt>
                  <c:pt idx="9">
                    <c:v>0</c:v>
                  </c:pt>
                </c:numCache>
              </c:numRef>
            </c:minus>
            <c:spPr>
              <a:ln w="12700">
                <a:solidFill>
                  <a:srgbClr val="000000"/>
                </a:solidFill>
                <a:prstDash val="solid"/>
              </a:ln>
            </c:spPr>
          </c:errBars>
          <c:xVal>
            <c:numRef>
              <c:f>Graphical!$R$205:$AA$205</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Graphical!$C$32:$L$32</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1696862944"/>
        <c:axId val="1696877088"/>
      </c:scatterChart>
      <c:valAx>
        <c:axId val="1696862944"/>
        <c:scaling>
          <c:orientation val="minMax"/>
          <c:max val="10"/>
          <c:min val="1"/>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696877088"/>
        <c:crosses val="autoZero"/>
        <c:crossBetween val="midCat"/>
        <c:majorUnit val="1"/>
        <c:minorUnit val="1"/>
      </c:valAx>
      <c:valAx>
        <c:axId val="1696877088"/>
        <c:scaling>
          <c:orientation val="minMax"/>
        </c:scaling>
        <c:delete val="0"/>
        <c:axPos val="l"/>
        <c:majorGridlines>
          <c:spPr>
            <a:ln w="3175">
              <a:solidFill>
                <a:srgbClr val="FFFFFF"/>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69686294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Error Chart</a:t>
            </a:r>
          </a:p>
        </c:rich>
      </c:tx>
      <c:layout>
        <c:manualLayout>
          <c:xMode val="edge"/>
          <c:yMode val="edge"/>
          <c:x val="0.4096192702280374"/>
          <c:y val="3.5598705501618123E-2"/>
        </c:manualLayout>
      </c:layout>
      <c:overlay val="0"/>
      <c:spPr>
        <a:noFill/>
        <a:ln w="25400">
          <a:noFill/>
        </a:ln>
      </c:spPr>
    </c:title>
    <c:autoTitleDeleted val="0"/>
    <c:plotArea>
      <c:layout>
        <c:manualLayout>
          <c:layoutTarget val="inner"/>
          <c:xMode val="edge"/>
          <c:yMode val="edge"/>
          <c:x val="8.7894006358193652E-2"/>
          <c:y val="0.23301044514324579"/>
          <c:w val="0.88889032845267224"/>
          <c:h val="0.59870739377083859"/>
        </c:manualLayout>
      </c:layout>
      <c:lineChart>
        <c:grouping val="standard"/>
        <c:varyColors val="0"/>
        <c:ser>
          <c:idx val="0"/>
          <c:order val="0"/>
          <c:tx>
            <c:v>Appr A</c:v>
          </c:tx>
          <c:spPr>
            <a:ln w="12700">
              <a:solidFill>
                <a:srgbClr val="000080"/>
              </a:solidFill>
              <a:prstDash val="solid"/>
            </a:ln>
          </c:spPr>
          <c:marker>
            <c:symbol val="diamond"/>
            <c:size val="5"/>
            <c:spPr>
              <a:solidFill>
                <a:srgbClr val="000080"/>
              </a:solidFill>
              <a:ln>
                <a:solidFill>
                  <a:srgbClr val="000080"/>
                </a:solidFill>
                <a:prstDash val="solid"/>
              </a:ln>
            </c:spPr>
          </c:marker>
          <c:cat>
            <c:strRef>
              <c:f>Graphical!$Q$248:$BI$248</c:f>
              <c:strCache>
                <c:ptCount val="41"/>
                <c:pt idx="4">
                  <c:v>Part 1</c:v>
                </c:pt>
                <c:pt idx="13">
                  <c:v>Part 2</c:v>
                </c:pt>
                <c:pt idx="22">
                  <c:v>Part 3</c:v>
                </c:pt>
                <c:pt idx="31">
                  <c:v>Part 4</c:v>
                </c:pt>
                <c:pt idx="40">
                  <c:v>Part 5</c:v>
                </c:pt>
              </c:strCache>
            </c:strRef>
          </c:cat>
          <c:val>
            <c:numRef>
              <c:f>Graphical!$Q$250:$BI$250</c:f>
              <c:numCache>
                <c:formatCode>General</c:formatCode>
                <c:ptCount val="45"/>
                <c:pt idx="0">
                  <c:v>0</c:v>
                </c:pt>
                <c:pt idx="1">
                  <c:v>0</c:v>
                </c:pt>
                <c:pt idx="2">
                  <c:v>0</c:v>
                </c:pt>
                <c:pt idx="9">
                  <c:v>0</c:v>
                </c:pt>
                <c:pt idx="10">
                  <c:v>0</c:v>
                </c:pt>
                <c:pt idx="11">
                  <c:v>0</c:v>
                </c:pt>
                <c:pt idx="18">
                  <c:v>0</c:v>
                </c:pt>
                <c:pt idx="19">
                  <c:v>0</c:v>
                </c:pt>
                <c:pt idx="20">
                  <c:v>0</c:v>
                </c:pt>
                <c:pt idx="27">
                  <c:v>0</c:v>
                </c:pt>
                <c:pt idx="28">
                  <c:v>0</c:v>
                </c:pt>
                <c:pt idx="29">
                  <c:v>0</c:v>
                </c:pt>
                <c:pt idx="36">
                  <c:v>0</c:v>
                </c:pt>
                <c:pt idx="37">
                  <c:v>0</c:v>
                </c:pt>
                <c:pt idx="38">
                  <c:v>0</c:v>
                </c:pt>
              </c:numCache>
            </c:numRef>
          </c:val>
          <c:smooth val="0"/>
        </c:ser>
        <c:ser>
          <c:idx val="1"/>
          <c:order val="1"/>
          <c:tx>
            <c:v>Appr B</c:v>
          </c:tx>
          <c:spPr>
            <a:ln w="12700">
              <a:solidFill>
                <a:srgbClr val="339933"/>
              </a:solidFill>
              <a:prstDash val="solid"/>
            </a:ln>
          </c:spPr>
          <c:marker>
            <c:symbol val="square"/>
            <c:size val="5"/>
            <c:spPr>
              <a:solidFill>
                <a:srgbClr val="339933"/>
              </a:solidFill>
              <a:ln>
                <a:solidFill>
                  <a:srgbClr val="339933"/>
                </a:solidFill>
                <a:prstDash val="solid"/>
              </a:ln>
            </c:spPr>
          </c:marker>
          <c:cat>
            <c:strRef>
              <c:f>Graphical!$Q$248:$BI$248</c:f>
              <c:strCache>
                <c:ptCount val="41"/>
                <c:pt idx="4">
                  <c:v>Part 1</c:v>
                </c:pt>
                <c:pt idx="13">
                  <c:v>Part 2</c:v>
                </c:pt>
                <c:pt idx="22">
                  <c:v>Part 3</c:v>
                </c:pt>
                <c:pt idx="31">
                  <c:v>Part 4</c:v>
                </c:pt>
                <c:pt idx="40">
                  <c:v>Part 5</c:v>
                </c:pt>
              </c:strCache>
            </c:strRef>
          </c:cat>
          <c:val>
            <c:numRef>
              <c:f>Graphical!$Q$251:$BI$251</c:f>
              <c:numCache>
                <c:formatCode>General</c:formatCode>
                <c:ptCount val="45"/>
                <c:pt idx="3">
                  <c:v>0</c:v>
                </c:pt>
                <c:pt idx="4">
                  <c:v>0</c:v>
                </c:pt>
                <c:pt idx="5">
                  <c:v>0</c:v>
                </c:pt>
                <c:pt idx="12">
                  <c:v>0</c:v>
                </c:pt>
                <c:pt idx="13">
                  <c:v>0</c:v>
                </c:pt>
                <c:pt idx="14">
                  <c:v>0</c:v>
                </c:pt>
                <c:pt idx="21">
                  <c:v>0</c:v>
                </c:pt>
                <c:pt idx="22">
                  <c:v>0</c:v>
                </c:pt>
                <c:pt idx="23">
                  <c:v>0</c:v>
                </c:pt>
                <c:pt idx="30">
                  <c:v>0</c:v>
                </c:pt>
                <c:pt idx="31">
                  <c:v>0</c:v>
                </c:pt>
                <c:pt idx="32">
                  <c:v>0</c:v>
                </c:pt>
                <c:pt idx="39">
                  <c:v>0</c:v>
                </c:pt>
                <c:pt idx="40">
                  <c:v>0</c:v>
                </c:pt>
                <c:pt idx="41">
                  <c:v>0</c:v>
                </c:pt>
              </c:numCache>
            </c:numRef>
          </c:val>
          <c:smooth val="0"/>
        </c:ser>
        <c:ser>
          <c:idx val="2"/>
          <c:order val="2"/>
          <c:tx>
            <c:v>Appr C</c:v>
          </c:tx>
          <c:spPr>
            <a:ln w="12700">
              <a:solidFill>
                <a:srgbClr val="FF0000"/>
              </a:solidFill>
              <a:prstDash val="solid"/>
            </a:ln>
          </c:spPr>
          <c:marker>
            <c:symbol val="triangle"/>
            <c:size val="5"/>
            <c:spPr>
              <a:solidFill>
                <a:srgbClr val="FF0000"/>
              </a:solidFill>
              <a:ln>
                <a:solidFill>
                  <a:srgbClr val="FF0000"/>
                </a:solidFill>
                <a:prstDash val="solid"/>
              </a:ln>
            </c:spPr>
          </c:marker>
          <c:cat>
            <c:strRef>
              <c:f>Graphical!$Q$248:$BI$248</c:f>
              <c:strCache>
                <c:ptCount val="41"/>
                <c:pt idx="4">
                  <c:v>Part 1</c:v>
                </c:pt>
                <c:pt idx="13">
                  <c:v>Part 2</c:v>
                </c:pt>
                <c:pt idx="22">
                  <c:v>Part 3</c:v>
                </c:pt>
                <c:pt idx="31">
                  <c:v>Part 4</c:v>
                </c:pt>
                <c:pt idx="40">
                  <c:v>Part 5</c:v>
                </c:pt>
              </c:strCache>
            </c:strRef>
          </c:cat>
          <c:val>
            <c:numRef>
              <c:f>Graphical!$Q$252:$BI$252</c:f>
              <c:numCache>
                <c:formatCode>General</c:formatCode>
                <c:ptCount val="45"/>
                <c:pt idx="6">
                  <c:v>0</c:v>
                </c:pt>
                <c:pt idx="7">
                  <c:v>0</c:v>
                </c:pt>
                <c:pt idx="8">
                  <c:v>0</c:v>
                </c:pt>
                <c:pt idx="15">
                  <c:v>0</c:v>
                </c:pt>
                <c:pt idx="16">
                  <c:v>0</c:v>
                </c:pt>
                <c:pt idx="17">
                  <c:v>0</c:v>
                </c:pt>
                <c:pt idx="24">
                  <c:v>0</c:v>
                </c:pt>
                <c:pt idx="25">
                  <c:v>0</c:v>
                </c:pt>
                <c:pt idx="26">
                  <c:v>0</c:v>
                </c:pt>
                <c:pt idx="33">
                  <c:v>0</c:v>
                </c:pt>
                <c:pt idx="34">
                  <c:v>0</c:v>
                </c:pt>
                <c:pt idx="35">
                  <c:v>0</c:v>
                </c:pt>
                <c:pt idx="42">
                  <c:v>0</c:v>
                </c:pt>
                <c:pt idx="43">
                  <c:v>0</c:v>
                </c:pt>
                <c:pt idx="44">
                  <c:v>0</c:v>
                </c:pt>
              </c:numCache>
            </c:numRef>
          </c:val>
          <c:smooth val="0"/>
        </c:ser>
        <c:dLbls>
          <c:showLegendKey val="0"/>
          <c:showVal val="0"/>
          <c:showCatName val="0"/>
          <c:showSerName val="0"/>
          <c:showPercent val="0"/>
          <c:showBubbleSize val="0"/>
        </c:dLbls>
        <c:marker val="1"/>
        <c:smooth val="0"/>
        <c:axId val="1696863488"/>
        <c:axId val="1696864576"/>
      </c:lineChart>
      <c:catAx>
        <c:axId val="1696863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696864576"/>
        <c:crosses val="autoZero"/>
        <c:auto val="1"/>
        <c:lblAlgn val="ctr"/>
        <c:lblOffset val="100"/>
        <c:tickLblSkip val="2"/>
        <c:tickMarkSkip val="1"/>
        <c:noMultiLvlLbl val="0"/>
      </c:catAx>
      <c:valAx>
        <c:axId val="16968645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9686348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Error Chart</a:t>
            </a:r>
          </a:p>
        </c:rich>
      </c:tx>
      <c:layout>
        <c:manualLayout>
          <c:xMode val="edge"/>
          <c:yMode val="edge"/>
          <c:x val="0.40894074498965771"/>
          <c:y val="3.5483870967741936E-2"/>
        </c:manualLayout>
      </c:layout>
      <c:overlay val="0"/>
      <c:spPr>
        <a:noFill/>
        <a:ln w="25400">
          <a:noFill/>
        </a:ln>
      </c:spPr>
    </c:title>
    <c:autoTitleDeleted val="0"/>
    <c:plotArea>
      <c:layout>
        <c:manualLayout>
          <c:layoutTarget val="inner"/>
          <c:xMode val="edge"/>
          <c:yMode val="edge"/>
          <c:x val="8.7748415307791233E-2"/>
          <c:y val="0.23225843034657043"/>
          <c:w val="0.88907356642045088"/>
          <c:h val="0.58064607586642458"/>
        </c:manualLayout>
      </c:layout>
      <c:lineChart>
        <c:grouping val="standard"/>
        <c:varyColors val="0"/>
        <c:ser>
          <c:idx val="0"/>
          <c:order val="0"/>
          <c:tx>
            <c:v>Appr A</c:v>
          </c:tx>
          <c:spPr>
            <a:ln w="12700">
              <a:solidFill>
                <a:srgbClr val="000080"/>
              </a:solidFill>
              <a:prstDash val="solid"/>
            </a:ln>
          </c:spPr>
          <c:marker>
            <c:symbol val="diamond"/>
            <c:size val="5"/>
            <c:spPr>
              <a:solidFill>
                <a:srgbClr val="000080"/>
              </a:solidFill>
              <a:ln>
                <a:solidFill>
                  <a:srgbClr val="000080"/>
                </a:solidFill>
                <a:prstDash val="solid"/>
              </a:ln>
            </c:spPr>
          </c:marker>
          <c:cat>
            <c:strRef>
              <c:f>Graphical!$Q$254:$BI$254</c:f>
              <c:strCache>
                <c:ptCount val="41"/>
                <c:pt idx="4">
                  <c:v>Part 6</c:v>
                </c:pt>
                <c:pt idx="13">
                  <c:v>Part 7</c:v>
                </c:pt>
                <c:pt idx="22">
                  <c:v>Part 8</c:v>
                </c:pt>
                <c:pt idx="31">
                  <c:v>Part 9</c:v>
                </c:pt>
                <c:pt idx="40">
                  <c:v>Part 10</c:v>
                </c:pt>
              </c:strCache>
            </c:strRef>
          </c:cat>
          <c:val>
            <c:numRef>
              <c:f>Graphical!$Q$256:$BI$256</c:f>
              <c:numCache>
                <c:formatCode>General</c:formatCode>
                <c:ptCount val="45"/>
                <c:pt idx="0">
                  <c:v>0</c:v>
                </c:pt>
                <c:pt idx="1">
                  <c:v>0</c:v>
                </c:pt>
                <c:pt idx="2">
                  <c:v>0</c:v>
                </c:pt>
                <c:pt idx="9">
                  <c:v>0</c:v>
                </c:pt>
                <c:pt idx="10">
                  <c:v>0</c:v>
                </c:pt>
                <c:pt idx="11">
                  <c:v>0</c:v>
                </c:pt>
                <c:pt idx="18">
                  <c:v>0</c:v>
                </c:pt>
                <c:pt idx="19">
                  <c:v>0</c:v>
                </c:pt>
                <c:pt idx="20">
                  <c:v>0</c:v>
                </c:pt>
                <c:pt idx="27">
                  <c:v>0</c:v>
                </c:pt>
                <c:pt idx="28">
                  <c:v>0</c:v>
                </c:pt>
                <c:pt idx="29">
                  <c:v>0</c:v>
                </c:pt>
                <c:pt idx="36">
                  <c:v>0</c:v>
                </c:pt>
                <c:pt idx="37">
                  <c:v>0</c:v>
                </c:pt>
                <c:pt idx="38">
                  <c:v>0</c:v>
                </c:pt>
              </c:numCache>
            </c:numRef>
          </c:val>
          <c:smooth val="0"/>
        </c:ser>
        <c:ser>
          <c:idx val="1"/>
          <c:order val="1"/>
          <c:tx>
            <c:v>Appr B</c:v>
          </c:tx>
          <c:spPr>
            <a:ln w="12700">
              <a:solidFill>
                <a:srgbClr val="339933"/>
              </a:solidFill>
              <a:prstDash val="solid"/>
            </a:ln>
          </c:spPr>
          <c:marker>
            <c:symbol val="square"/>
            <c:size val="5"/>
            <c:spPr>
              <a:solidFill>
                <a:srgbClr val="339933"/>
              </a:solidFill>
              <a:ln>
                <a:solidFill>
                  <a:srgbClr val="339933"/>
                </a:solidFill>
                <a:prstDash val="solid"/>
              </a:ln>
            </c:spPr>
          </c:marker>
          <c:cat>
            <c:strRef>
              <c:f>Graphical!$Q$254:$BI$254</c:f>
              <c:strCache>
                <c:ptCount val="41"/>
                <c:pt idx="4">
                  <c:v>Part 6</c:v>
                </c:pt>
                <c:pt idx="13">
                  <c:v>Part 7</c:v>
                </c:pt>
                <c:pt idx="22">
                  <c:v>Part 8</c:v>
                </c:pt>
                <c:pt idx="31">
                  <c:v>Part 9</c:v>
                </c:pt>
                <c:pt idx="40">
                  <c:v>Part 10</c:v>
                </c:pt>
              </c:strCache>
            </c:strRef>
          </c:cat>
          <c:val>
            <c:numRef>
              <c:f>Graphical!$Q$257:$BI$257</c:f>
              <c:numCache>
                <c:formatCode>General</c:formatCode>
                <c:ptCount val="45"/>
                <c:pt idx="3">
                  <c:v>0</c:v>
                </c:pt>
                <c:pt idx="4">
                  <c:v>0</c:v>
                </c:pt>
                <c:pt idx="5">
                  <c:v>0</c:v>
                </c:pt>
                <c:pt idx="12">
                  <c:v>0</c:v>
                </c:pt>
                <c:pt idx="13">
                  <c:v>0</c:v>
                </c:pt>
                <c:pt idx="14">
                  <c:v>0</c:v>
                </c:pt>
                <c:pt idx="21">
                  <c:v>0</c:v>
                </c:pt>
                <c:pt idx="22">
                  <c:v>0</c:v>
                </c:pt>
                <c:pt idx="23">
                  <c:v>0</c:v>
                </c:pt>
                <c:pt idx="30">
                  <c:v>0</c:v>
                </c:pt>
                <c:pt idx="31">
                  <c:v>0</c:v>
                </c:pt>
                <c:pt idx="32">
                  <c:v>0</c:v>
                </c:pt>
                <c:pt idx="39">
                  <c:v>0</c:v>
                </c:pt>
                <c:pt idx="40">
                  <c:v>0</c:v>
                </c:pt>
                <c:pt idx="41">
                  <c:v>0</c:v>
                </c:pt>
              </c:numCache>
            </c:numRef>
          </c:val>
          <c:smooth val="0"/>
        </c:ser>
        <c:ser>
          <c:idx val="2"/>
          <c:order val="2"/>
          <c:tx>
            <c:v>Appr C</c:v>
          </c:tx>
          <c:spPr>
            <a:ln w="12700">
              <a:solidFill>
                <a:srgbClr val="FF0000"/>
              </a:solidFill>
              <a:prstDash val="solid"/>
            </a:ln>
          </c:spPr>
          <c:marker>
            <c:symbol val="triangle"/>
            <c:size val="5"/>
            <c:spPr>
              <a:solidFill>
                <a:srgbClr val="FF0000"/>
              </a:solidFill>
              <a:ln>
                <a:solidFill>
                  <a:srgbClr val="FF0000"/>
                </a:solidFill>
                <a:prstDash val="solid"/>
              </a:ln>
            </c:spPr>
          </c:marker>
          <c:cat>
            <c:strRef>
              <c:f>Graphical!$Q$254:$BI$254</c:f>
              <c:strCache>
                <c:ptCount val="41"/>
                <c:pt idx="4">
                  <c:v>Part 6</c:v>
                </c:pt>
                <c:pt idx="13">
                  <c:v>Part 7</c:v>
                </c:pt>
                <c:pt idx="22">
                  <c:v>Part 8</c:v>
                </c:pt>
                <c:pt idx="31">
                  <c:v>Part 9</c:v>
                </c:pt>
                <c:pt idx="40">
                  <c:v>Part 10</c:v>
                </c:pt>
              </c:strCache>
            </c:strRef>
          </c:cat>
          <c:val>
            <c:numRef>
              <c:f>Graphical!$Q$258:$BI$258</c:f>
              <c:numCache>
                <c:formatCode>General</c:formatCode>
                <c:ptCount val="45"/>
                <c:pt idx="6">
                  <c:v>0</c:v>
                </c:pt>
                <c:pt idx="7">
                  <c:v>0</c:v>
                </c:pt>
                <c:pt idx="8">
                  <c:v>0</c:v>
                </c:pt>
                <c:pt idx="15">
                  <c:v>0</c:v>
                </c:pt>
                <c:pt idx="16">
                  <c:v>0</c:v>
                </c:pt>
                <c:pt idx="17">
                  <c:v>0</c:v>
                </c:pt>
                <c:pt idx="24">
                  <c:v>0</c:v>
                </c:pt>
                <c:pt idx="25">
                  <c:v>0</c:v>
                </c:pt>
                <c:pt idx="26">
                  <c:v>0</c:v>
                </c:pt>
                <c:pt idx="33">
                  <c:v>0</c:v>
                </c:pt>
                <c:pt idx="34">
                  <c:v>0</c:v>
                </c:pt>
                <c:pt idx="35">
                  <c:v>0</c:v>
                </c:pt>
                <c:pt idx="42">
                  <c:v>0</c:v>
                </c:pt>
                <c:pt idx="43">
                  <c:v>0</c:v>
                </c:pt>
                <c:pt idx="44">
                  <c:v>0</c:v>
                </c:pt>
              </c:numCache>
            </c:numRef>
          </c:val>
          <c:smooth val="0"/>
        </c:ser>
        <c:dLbls>
          <c:showLegendKey val="0"/>
          <c:showVal val="0"/>
          <c:showCatName val="0"/>
          <c:showSerName val="0"/>
          <c:showPercent val="0"/>
          <c:showBubbleSize val="0"/>
        </c:dLbls>
        <c:marker val="1"/>
        <c:smooth val="0"/>
        <c:axId val="1696875456"/>
        <c:axId val="1696864032"/>
      </c:lineChart>
      <c:catAx>
        <c:axId val="1696875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696864032"/>
        <c:crosses val="autoZero"/>
        <c:auto val="1"/>
        <c:lblAlgn val="ctr"/>
        <c:lblOffset val="100"/>
        <c:tickLblSkip val="2"/>
        <c:tickMarkSkip val="1"/>
        <c:noMultiLvlLbl val="0"/>
      </c:catAx>
      <c:valAx>
        <c:axId val="16968640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9687545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Normalized Histogram - Error</a:t>
            </a:r>
          </a:p>
        </c:rich>
      </c:tx>
      <c:layout>
        <c:manualLayout>
          <c:xMode val="edge"/>
          <c:yMode val="edge"/>
          <c:x val="0.32784219106054907"/>
          <c:y val="4.1666666666666664E-2"/>
        </c:manualLayout>
      </c:layout>
      <c:overlay val="0"/>
      <c:spPr>
        <a:noFill/>
        <a:ln w="25400">
          <a:noFill/>
        </a:ln>
      </c:spPr>
    </c:title>
    <c:autoTitleDeleted val="0"/>
    <c:plotArea>
      <c:layout>
        <c:manualLayout>
          <c:layoutTarget val="inner"/>
          <c:xMode val="edge"/>
          <c:yMode val="edge"/>
          <c:x val="6.5897911329019163E-2"/>
          <c:y val="0.28240868421171672"/>
          <c:w val="0.80395451821403163"/>
          <c:h val="0.4675947066456283"/>
        </c:manualLayout>
      </c:layout>
      <c:barChart>
        <c:barDir val="col"/>
        <c:grouping val="clustered"/>
        <c:varyColors val="0"/>
        <c:ser>
          <c:idx val="0"/>
          <c:order val="0"/>
          <c:tx>
            <c:strRef>
              <c:f>Graphical!$Q$294</c:f>
              <c:strCache>
                <c:ptCount val="1"/>
                <c:pt idx="0">
                  <c:v>Appr A</c:v>
                </c:pt>
              </c:strCache>
            </c:strRef>
          </c:tx>
          <c:spPr>
            <a:solidFill>
              <a:srgbClr val="8080FF"/>
            </a:solidFill>
            <a:ln w="12700">
              <a:solidFill>
                <a:srgbClr val="000000"/>
              </a:solidFill>
              <a:prstDash val="solid"/>
            </a:ln>
          </c:spPr>
          <c:invertIfNegative val="0"/>
          <c:cat>
            <c:numRef>
              <c:f>Graphical!$R$293:$AL$293</c:f>
              <c:numCache>
                <c:formatCode>0.00</c:formatCode>
                <c:ptCount val="21"/>
                <c:pt idx="0">
                  <c:v>-1</c:v>
                </c:pt>
                <c:pt idx="1">
                  <c:v>-0.9</c:v>
                </c:pt>
                <c:pt idx="2">
                  <c:v>-0.8</c:v>
                </c:pt>
                <c:pt idx="3">
                  <c:v>-0.70000000000000007</c:v>
                </c:pt>
                <c:pt idx="4">
                  <c:v>-0.60000000000000009</c:v>
                </c:pt>
                <c:pt idx="5">
                  <c:v>-0.50000000000000011</c:v>
                </c:pt>
                <c:pt idx="6">
                  <c:v>-0.40000000000000013</c:v>
                </c:pt>
                <c:pt idx="7">
                  <c:v>-0.30000000000000016</c:v>
                </c:pt>
                <c:pt idx="8">
                  <c:v>-0.20000000000000015</c:v>
                </c:pt>
                <c:pt idx="9">
                  <c:v>-0.10000000000000014</c:v>
                </c:pt>
                <c:pt idx="10">
                  <c:v>-1.3877787807814457E-16</c:v>
                </c:pt>
                <c:pt idx="11">
                  <c:v>9.9999999999999867E-2</c:v>
                </c:pt>
                <c:pt idx="12">
                  <c:v>0.19999999999999987</c:v>
                </c:pt>
                <c:pt idx="13">
                  <c:v>0.29999999999999988</c:v>
                </c:pt>
                <c:pt idx="14">
                  <c:v>0.39999999999999991</c:v>
                </c:pt>
                <c:pt idx="15">
                  <c:v>0.49999999999999989</c:v>
                </c:pt>
                <c:pt idx="16">
                  <c:v>0.59999999999999987</c:v>
                </c:pt>
                <c:pt idx="17">
                  <c:v>0.69999999999999984</c:v>
                </c:pt>
                <c:pt idx="18">
                  <c:v>0.79999999999999982</c:v>
                </c:pt>
                <c:pt idx="19">
                  <c:v>0.8999999999999998</c:v>
                </c:pt>
                <c:pt idx="20">
                  <c:v>0.99999999999999978</c:v>
                </c:pt>
              </c:numCache>
            </c:numRef>
          </c:cat>
          <c:val>
            <c:numRef>
              <c:f>Graphical!$R$294:$AL$294</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150"/>
        <c:axId val="1696866208"/>
        <c:axId val="1696877632"/>
      </c:barChart>
      <c:catAx>
        <c:axId val="1696866208"/>
        <c:scaling>
          <c:orientation val="minMax"/>
        </c:scaling>
        <c:delete val="0"/>
        <c:axPos val="b"/>
        <c:numFmt formatCode="0.00"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1696877632"/>
        <c:crosses val="autoZero"/>
        <c:auto val="1"/>
        <c:lblAlgn val="ctr"/>
        <c:lblOffset val="100"/>
        <c:tickLblSkip val="1"/>
        <c:tickMarkSkip val="1"/>
        <c:noMultiLvlLbl val="0"/>
      </c:catAx>
      <c:valAx>
        <c:axId val="16968776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696866208"/>
        <c:crosses val="autoZero"/>
        <c:crossBetween val="between"/>
      </c:valAx>
      <c:spPr>
        <a:noFill/>
        <a:ln w="12700">
          <a:solidFill>
            <a:srgbClr val="808080"/>
          </a:solidFill>
          <a:prstDash val="solid"/>
        </a:ln>
      </c:spPr>
    </c:plotArea>
    <c:legend>
      <c:legendPos val="r"/>
      <c:layout>
        <c:manualLayout>
          <c:xMode val="edge"/>
          <c:yMode val="edge"/>
          <c:x val="0.88651315789473684"/>
          <c:y val="0.4675947066456283"/>
          <c:w val="9.8684210526315791E-2"/>
          <c:h val="0.101852312338651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horizontalDpi="-4" verticalDpi="12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Normalized Histogram -  Error</a:t>
            </a:r>
          </a:p>
        </c:rich>
      </c:tx>
      <c:layout>
        <c:manualLayout>
          <c:xMode val="edge"/>
          <c:yMode val="edge"/>
          <c:x val="0.30921052631578949"/>
          <c:y val="4.0358744394618833E-2"/>
        </c:manualLayout>
      </c:layout>
      <c:overlay val="0"/>
      <c:spPr>
        <a:noFill/>
        <a:ln w="25400">
          <a:noFill/>
        </a:ln>
      </c:spPr>
    </c:title>
    <c:autoTitleDeleted val="0"/>
    <c:plotArea>
      <c:layout>
        <c:manualLayout>
          <c:layoutTarget val="inner"/>
          <c:xMode val="edge"/>
          <c:yMode val="edge"/>
          <c:x val="6.5681550315499146E-2"/>
          <c:y val="0.27802751459920344"/>
          <c:w val="0.80459899136486457"/>
          <c:h val="0.47982167842120588"/>
        </c:manualLayout>
      </c:layout>
      <c:barChart>
        <c:barDir val="col"/>
        <c:grouping val="clustered"/>
        <c:varyColors val="0"/>
        <c:ser>
          <c:idx val="0"/>
          <c:order val="0"/>
          <c:tx>
            <c:strRef>
              <c:f>Graphical!$Q$295</c:f>
              <c:strCache>
                <c:ptCount val="1"/>
                <c:pt idx="0">
                  <c:v>Appr B</c:v>
                </c:pt>
              </c:strCache>
            </c:strRef>
          </c:tx>
          <c:spPr>
            <a:solidFill>
              <a:srgbClr val="339933"/>
            </a:solidFill>
            <a:ln w="12700">
              <a:solidFill>
                <a:srgbClr val="339933"/>
              </a:solidFill>
              <a:prstDash val="solid"/>
            </a:ln>
          </c:spPr>
          <c:invertIfNegative val="0"/>
          <c:cat>
            <c:numRef>
              <c:f>Graphical!$R$293:$AL$293</c:f>
              <c:numCache>
                <c:formatCode>0.00</c:formatCode>
                <c:ptCount val="21"/>
                <c:pt idx="0">
                  <c:v>-1</c:v>
                </c:pt>
                <c:pt idx="1">
                  <c:v>-0.9</c:v>
                </c:pt>
                <c:pt idx="2">
                  <c:v>-0.8</c:v>
                </c:pt>
                <c:pt idx="3">
                  <c:v>-0.70000000000000007</c:v>
                </c:pt>
                <c:pt idx="4">
                  <c:v>-0.60000000000000009</c:v>
                </c:pt>
                <c:pt idx="5">
                  <c:v>-0.50000000000000011</c:v>
                </c:pt>
                <c:pt idx="6">
                  <c:v>-0.40000000000000013</c:v>
                </c:pt>
                <c:pt idx="7">
                  <c:v>-0.30000000000000016</c:v>
                </c:pt>
                <c:pt idx="8">
                  <c:v>-0.20000000000000015</c:v>
                </c:pt>
                <c:pt idx="9">
                  <c:v>-0.10000000000000014</c:v>
                </c:pt>
                <c:pt idx="10">
                  <c:v>-1.3877787807814457E-16</c:v>
                </c:pt>
                <c:pt idx="11">
                  <c:v>9.9999999999999867E-2</c:v>
                </c:pt>
                <c:pt idx="12">
                  <c:v>0.19999999999999987</c:v>
                </c:pt>
                <c:pt idx="13">
                  <c:v>0.29999999999999988</c:v>
                </c:pt>
                <c:pt idx="14">
                  <c:v>0.39999999999999991</c:v>
                </c:pt>
                <c:pt idx="15">
                  <c:v>0.49999999999999989</c:v>
                </c:pt>
                <c:pt idx="16">
                  <c:v>0.59999999999999987</c:v>
                </c:pt>
                <c:pt idx="17">
                  <c:v>0.69999999999999984</c:v>
                </c:pt>
                <c:pt idx="18">
                  <c:v>0.79999999999999982</c:v>
                </c:pt>
                <c:pt idx="19">
                  <c:v>0.8999999999999998</c:v>
                </c:pt>
                <c:pt idx="20">
                  <c:v>0.99999999999999978</c:v>
                </c:pt>
              </c:numCache>
            </c:numRef>
          </c:cat>
          <c:val>
            <c:numRef>
              <c:f>Graphical!$R$295:$AL$295</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150"/>
        <c:axId val="1696868384"/>
        <c:axId val="1696867296"/>
      </c:barChart>
      <c:catAx>
        <c:axId val="1696868384"/>
        <c:scaling>
          <c:orientation val="minMax"/>
        </c:scaling>
        <c:delete val="0"/>
        <c:axPos val="b"/>
        <c:numFmt formatCode="0.00" sourceLinked="1"/>
        <c:majorTickMark val="out"/>
        <c:minorTickMark val="none"/>
        <c:tickLblPos val="nextTo"/>
        <c:spPr>
          <a:ln w="3175">
            <a:solidFill>
              <a:srgbClr val="000000"/>
            </a:solidFill>
            <a:prstDash val="solid"/>
          </a:ln>
        </c:spPr>
        <c:txPr>
          <a:bodyPr rot="-2700000" vert="horz"/>
          <a:lstStyle/>
          <a:p>
            <a:pPr>
              <a:defRPr sz="850" b="0" i="0" u="none" strike="noStrike" baseline="0">
                <a:solidFill>
                  <a:srgbClr val="000000"/>
                </a:solidFill>
                <a:latin typeface="Arial"/>
                <a:ea typeface="Arial"/>
                <a:cs typeface="Arial"/>
              </a:defRPr>
            </a:pPr>
            <a:endParaRPr lang="en-US"/>
          </a:p>
        </c:txPr>
        <c:crossAx val="1696867296"/>
        <c:crosses val="autoZero"/>
        <c:auto val="1"/>
        <c:lblAlgn val="ctr"/>
        <c:lblOffset val="100"/>
        <c:tickLblSkip val="1"/>
        <c:tickMarkSkip val="1"/>
        <c:noMultiLvlLbl val="0"/>
      </c:catAx>
      <c:valAx>
        <c:axId val="16968672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696868384"/>
        <c:crosses val="autoZero"/>
        <c:crossBetween val="between"/>
      </c:valAx>
      <c:spPr>
        <a:noFill/>
        <a:ln w="12700">
          <a:solidFill>
            <a:srgbClr val="808080"/>
          </a:solidFill>
          <a:prstDash val="solid"/>
        </a:ln>
      </c:spPr>
    </c:plotArea>
    <c:legend>
      <c:legendPos val="r"/>
      <c:layout>
        <c:manualLayout>
          <c:xMode val="edge"/>
          <c:yMode val="edge"/>
          <c:x val="0.88834296801712598"/>
          <c:y val="0.46636873416640573"/>
          <c:w val="9.8522325473248726E-2"/>
          <c:h val="9.865492453520120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Normalized Histogram - Error</a:t>
            </a:r>
          </a:p>
        </c:rich>
      </c:tx>
      <c:layout>
        <c:manualLayout>
          <c:xMode val="edge"/>
          <c:yMode val="edge"/>
          <c:x val="0.32730263157894735"/>
          <c:y val="4.1666666666666664E-2"/>
        </c:manualLayout>
      </c:layout>
      <c:overlay val="0"/>
      <c:spPr>
        <a:noFill/>
        <a:ln w="25400">
          <a:noFill/>
        </a:ln>
      </c:spPr>
    </c:title>
    <c:autoTitleDeleted val="0"/>
    <c:plotArea>
      <c:layout>
        <c:manualLayout>
          <c:layoutTarget val="inner"/>
          <c:xMode val="edge"/>
          <c:yMode val="edge"/>
          <c:x val="6.5789473684210523E-2"/>
          <c:y val="0.28240868421171672"/>
          <c:w val="0.81743421052631582"/>
          <c:h val="0.4675947066456283"/>
        </c:manualLayout>
      </c:layout>
      <c:barChart>
        <c:barDir val="col"/>
        <c:grouping val="clustered"/>
        <c:varyColors val="0"/>
        <c:ser>
          <c:idx val="0"/>
          <c:order val="0"/>
          <c:tx>
            <c:strRef>
              <c:f>Graphical!$Q$296</c:f>
              <c:strCache>
                <c:ptCount val="1"/>
                <c:pt idx="0">
                  <c:v>Appr C</c:v>
                </c:pt>
              </c:strCache>
            </c:strRef>
          </c:tx>
          <c:spPr>
            <a:solidFill>
              <a:srgbClr val="FF0000"/>
            </a:solidFill>
            <a:ln w="12700">
              <a:solidFill>
                <a:srgbClr val="FF0000"/>
              </a:solidFill>
              <a:prstDash val="solid"/>
            </a:ln>
          </c:spPr>
          <c:invertIfNegative val="0"/>
          <c:cat>
            <c:numRef>
              <c:f>Graphical!$R$293:$AL$293</c:f>
              <c:numCache>
                <c:formatCode>0.00</c:formatCode>
                <c:ptCount val="21"/>
                <c:pt idx="0">
                  <c:v>-1</c:v>
                </c:pt>
                <c:pt idx="1">
                  <c:v>-0.9</c:v>
                </c:pt>
                <c:pt idx="2">
                  <c:v>-0.8</c:v>
                </c:pt>
                <c:pt idx="3">
                  <c:v>-0.70000000000000007</c:v>
                </c:pt>
                <c:pt idx="4">
                  <c:v>-0.60000000000000009</c:v>
                </c:pt>
                <c:pt idx="5">
                  <c:v>-0.50000000000000011</c:v>
                </c:pt>
                <c:pt idx="6">
                  <c:v>-0.40000000000000013</c:v>
                </c:pt>
                <c:pt idx="7">
                  <c:v>-0.30000000000000016</c:v>
                </c:pt>
                <c:pt idx="8">
                  <c:v>-0.20000000000000015</c:v>
                </c:pt>
                <c:pt idx="9">
                  <c:v>-0.10000000000000014</c:v>
                </c:pt>
                <c:pt idx="10">
                  <c:v>-1.3877787807814457E-16</c:v>
                </c:pt>
                <c:pt idx="11">
                  <c:v>9.9999999999999867E-2</c:v>
                </c:pt>
                <c:pt idx="12">
                  <c:v>0.19999999999999987</c:v>
                </c:pt>
                <c:pt idx="13">
                  <c:v>0.29999999999999988</c:v>
                </c:pt>
                <c:pt idx="14">
                  <c:v>0.39999999999999991</c:v>
                </c:pt>
                <c:pt idx="15">
                  <c:v>0.49999999999999989</c:v>
                </c:pt>
                <c:pt idx="16">
                  <c:v>0.59999999999999987</c:v>
                </c:pt>
                <c:pt idx="17">
                  <c:v>0.69999999999999984</c:v>
                </c:pt>
                <c:pt idx="18">
                  <c:v>0.79999999999999982</c:v>
                </c:pt>
                <c:pt idx="19">
                  <c:v>0.8999999999999998</c:v>
                </c:pt>
                <c:pt idx="20">
                  <c:v>0.99999999999999978</c:v>
                </c:pt>
              </c:numCache>
            </c:numRef>
          </c:cat>
          <c:val>
            <c:numRef>
              <c:f>Graphical!$R$296:$AL$296</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150"/>
        <c:axId val="1696866752"/>
        <c:axId val="1696865120"/>
      </c:barChart>
      <c:catAx>
        <c:axId val="1696866752"/>
        <c:scaling>
          <c:orientation val="minMax"/>
        </c:scaling>
        <c:delete val="0"/>
        <c:axPos val="b"/>
        <c:numFmt formatCode="0.00"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1696865120"/>
        <c:crosses val="autoZero"/>
        <c:auto val="1"/>
        <c:lblAlgn val="ctr"/>
        <c:lblOffset val="100"/>
        <c:tickLblSkip val="1"/>
        <c:tickMarkSkip val="1"/>
        <c:noMultiLvlLbl val="0"/>
      </c:catAx>
      <c:valAx>
        <c:axId val="16968651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696866752"/>
        <c:crosses val="autoZero"/>
        <c:crossBetween val="between"/>
      </c:valAx>
      <c:spPr>
        <a:noFill/>
        <a:ln w="12700">
          <a:solidFill>
            <a:srgbClr val="808080"/>
          </a:solidFill>
          <a:prstDash val="solid"/>
        </a:ln>
      </c:spPr>
    </c:plotArea>
    <c:legend>
      <c:legendPos val="r"/>
      <c:layout>
        <c:manualLayout>
          <c:xMode val="edge"/>
          <c:yMode val="edge"/>
          <c:x val="0.90147927808022577"/>
          <c:y val="0.4722243572064761"/>
          <c:w val="8.5386015410148897E-2"/>
          <c:h val="9.2593011216956095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281539275455148E-2"/>
          <c:y val="0.15662696673500665"/>
          <c:w val="0.97907799230770909"/>
          <c:h val="0.57831495409848599"/>
        </c:manualLayout>
      </c:layout>
      <c:lineChart>
        <c:grouping val="standard"/>
        <c:varyColors val="0"/>
        <c:ser>
          <c:idx val="0"/>
          <c:order val="0"/>
          <c:tx>
            <c:v>""DATA""</c:v>
          </c:tx>
          <c:spPr>
            <a:ln w="12700">
              <a:solidFill>
                <a:srgbClr val="000000"/>
              </a:solidFill>
              <a:prstDash val="solid"/>
            </a:ln>
          </c:spPr>
          <c:marker>
            <c:symbol val="circle"/>
            <c:size val="6"/>
            <c:spPr>
              <a:solidFill>
                <a:srgbClr val="000000"/>
              </a:solidFill>
              <a:ln>
                <a:solidFill>
                  <a:srgbClr val="000000"/>
                </a:solidFill>
                <a:prstDash val="solid"/>
              </a:ln>
            </c:spPr>
          </c:marker>
          <c:val>
            <c:numRef>
              <c:f>'CAPABILITY STUDY'!$F$47:$DA$47</c:f>
              <c:numCache>
                <c:formatCode>0.0000</c:formatCode>
                <c:ptCount val="100"/>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1"/>
          <c:order val="1"/>
          <c:tx>
            <c:v>""AVGx</c:v>
          </c:tx>
          <c:spPr>
            <a:ln w="25400">
              <a:solidFill>
                <a:srgbClr val="000080"/>
              </a:solidFill>
              <a:prstDash val="solid"/>
            </a:ln>
          </c:spPr>
          <c:marker>
            <c:symbol val="dot"/>
            <c:size val="5"/>
            <c:spPr>
              <a:solidFill>
                <a:srgbClr val="000080"/>
              </a:solidFill>
              <a:ln>
                <a:solidFill>
                  <a:srgbClr val="000080"/>
                </a:solidFill>
                <a:prstDash val="solid"/>
              </a:ln>
            </c:spPr>
          </c:marker>
          <c:val>
            <c:numLit>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Lit>
          </c:val>
          <c:smooth val="0"/>
        </c:ser>
        <c:ser>
          <c:idx val="2"/>
          <c:order val="2"/>
          <c:tx>
            <c:v>""UCLr</c:v>
          </c:tx>
          <c:spPr>
            <a:ln w="25400">
              <a:solidFill>
                <a:srgbClr val="000080"/>
              </a:solidFill>
              <a:prstDash val="lgDash"/>
            </a:ln>
          </c:spPr>
          <c:marker>
            <c:symbol val="dot"/>
            <c:size val="5"/>
            <c:spPr>
              <a:solidFill>
                <a:srgbClr val="000080"/>
              </a:solidFill>
              <a:ln>
                <a:solidFill>
                  <a:srgbClr val="000080"/>
                </a:solidFill>
                <a:prstDash val="solid"/>
              </a:ln>
            </c:spPr>
          </c:marker>
          <c:val>
            <c:numLit>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Lit>
          </c:val>
          <c:smooth val="0"/>
        </c:ser>
        <c:dLbls>
          <c:showLegendKey val="0"/>
          <c:showVal val="0"/>
          <c:showCatName val="0"/>
          <c:showSerName val="0"/>
          <c:showPercent val="0"/>
          <c:showBubbleSize val="0"/>
        </c:dLbls>
        <c:marker val="1"/>
        <c:smooth val="0"/>
        <c:axId val="1927067088"/>
        <c:axId val="1927061104"/>
      </c:lineChart>
      <c:catAx>
        <c:axId val="1927067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27061104"/>
        <c:crosses val="autoZero"/>
        <c:auto val="1"/>
        <c:lblAlgn val="ctr"/>
        <c:lblOffset val="100"/>
        <c:tickLblSkip val="1"/>
        <c:tickMarkSkip val="1"/>
        <c:noMultiLvlLbl val="0"/>
      </c:catAx>
      <c:valAx>
        <c:axId val="1927061104"/>
        <c:scaling>
          <c:orientation val="minMax"/>
        </c:scaling>
        <c:delete val="0"/>
        <c:axPos val="l"/>
        <c:majorGridlines>
          <c:spPr>
            <a:ln w="3175">
              <a:solidFill>
                <a:srgbClr val="000000"/>
              </a:solidFill>
              <a:prstDash val="solid"/>
            </a:ln>
          </c:spPr>
        </c:majorGridlines>
        <c:numFmt formatCode="0.00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927067088"/>
        <c:crosses val="autoZero"/>
        <c:crossBetween val="between"/>
      </c:valAx>
      <c:spPr>
        <a:gradFill rotWithShape="0">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E2E2E2" mc:Ignorable="a14" a14:legacySpreadsheetColorIndex="22">
                <a:gamma/>
                <a:tint val="45490"/>
                <a:invGamma/>
              </a:srgbClr>
            </a:gs>
          </a:gsLst>
          <a:lin ang="5400000" scaled="1"/>
        </a:gradFill>
        <a:ln w="12700">
          <a:solidFill>
            <a:srgbClr val="808080"/>
          </a:solidFill>
          <a:prstDash val="solid"/>
        </a:ln>
      </c:spPr>
    </c:plotArea>
    <c:plotVisOnly val="1"/>
    <c:dispBlanksAs val="gap"/>
    <c:showDLblsOverMax val="0"/>
  </c:chart>
  <c:spPr>
    <a:gradFill rotWithShape="0">
      <a:gsLst>
        <a:gs pos="0">
          <a:srgbClr xmlns:mc="http://schemas.openxmlformats.org/markup-compatibility/2006" xmlns:a14="http://schemas.microsoft.com/office/drawing/2010/main" val="969696" mc:Ignorable="a14" a14:legacySpreadsheetColorIndex="55"/>
        </a:gs>
        <a:gs pos="100000">
          <a:srgbClr xmlns:mc="http://schemas.openxmlformats.org/markup-compatibility/2006" xmlns:a14="http://schemas.microsoft.com/office/drawing/2010/main" val="FFFFFF" mc:Ignorable="a14" a14:legacySpreadsheetColorIndex="9"/>
        </a:gs>
      </a:gsLst>
      <a:path path="rect">
        <a:fillToRect r="100000" b="100000"/>
      </a:path>
    </a:gradFill>
    <a:ln w="38100">
      <a:solidFill>
        <a:srgbClr val="000000"/>
      </a:solidFill>
      <a:prstDash val="solid"/>
    </a:ln>
    <a:effectLst>
      <a:outerShdw dist="35921" dir="2700000" algn="br">
        <a:srgbClr val="000000"/>
      </a:outerShdw>
    </a:effectLst>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XY Plot of Averages by Size</a:t>
            </a:r>
          </a:p>
        </c:rich>
      </c:tx>
      <c:layout>
        <c:manualLayout>
          <c:xMode val="edge"/>
          <c:yMode val="edge"/>
          <c:x val="0.23567921440261866"/>
          <c:y val="3.0973451327433628E-2"/>
        </c:manualLayout>
      </c:layout>
      <c:overlay val="0"/>
      <c:spPr>
        <a:noFill/>
        <a:ln w="25400">
          <a:noFill/>
        </a:ln>
      </c:spPr>
    </c:title>
    <c:autoTitleDeleted val="0"/>
    <c:plotArea>
      <c:layout>
        <c:manualLayout>
          <c:layoutTarget val="inner"/>
          <c:xMode val="edge"/>
          <c:yMode val="edge"/>
          <c:x val="0.10130735119764731"/>
          <c:y val="0.19911504424778761"/>
          <c:w val="0.70424948977719337"/>
          <c:h val="0.69026548672566368"/>
        </c:manualLayout>
      </c:layout>
      <c:scatterChart>
        <c:scatterStyle val="lineMarker"/>
        <c:varyColors val="0"/>
        <c:ser>
          <c:idx val="0"/>
          <c:order val="0"/>
          <c:tx>
            <c:strRef>
              <c:f>Graphical!$P$334</c:f>
              <c:strCache>
                <c:ptCount val="1"/>
                <c:pt idx="0">
                  <c:v>Appr A</c:v>
                </c:pt>
              </c:strCache>
            </c:strRef>
          </c:tx>
          <c:spPr>
            <a:ln w="28575">
              <a:noFill/>
            </a:ln>
          </c:spPr>
          <c:marker>
            <c:symbol val="circle"/>
            <c:size val="5"/>
            <c:spPr>
              <a:solidFill>
                <a:srgbClr val="3333CC"/>
              </a:solidFill>
              <a:ln>
                <a:solidFill>
                  <a:srgbClr val="3333CC"/>
                </a:solidFill>
                <a:prstDash val="solid"/>
              </a:ln>
            </c:spPr>
          </c:marker>
          <c:xVal>
            <c:numRef>
              <c:f>Graphical!$C$35:$L$35</c:f>
            </c:numRef>
          </c:xVal>
          <c:yVal>
            <c:numRef>
              <c:f>Graphical!$C$22:$L$22</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strRef>
              <c:f>Graphical!$P$335</c:f>
              <c:strCache>
                <c:ptCount val="1"/>
                <c:pt idx="0">
                  <c:v>Appr B</c:v>
                </c:pt>
              </c:strCache>
            </c:strRef>
          </c:tx>
          <c:spPr>
            <a:ln w="28575">
              <a:noFill/>
            </a:ln>
          </c:spPr>
          <c:marker>
            <c:symbol val="diamond"/>
            <c:size val="5"/>
            <c:spPr>
              <a:solidFill>
                <a:srgbClr val="339933"/>
              </a:solidFill>
              <a:ln>
                <a:solidFill>
                  <a:srgbClr val="339933"/>
                </a:solidFill>
                <a:prstDash val="solid"/>
              </a:ln>
            </c:spPr>
          </c:marker>
          <c:xVal>
            <c:numRef>
              <c:f>Graphical!$C$35:$L$35</c:f>
            </c:numRef>
          </c:xVal>
          <c:yVal>
            <c:numRef>
              <c:f>Graphical!$C$27:$L$27</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ser>
        <c:ser>
          <c:idx val="2"/>
          <c:order val="2"/>
          <c:tx>
            <c:strRef>
              <c:f>Graphical!$P$336</c:f>
              <c:strCache>
                <c:ptCount val="1"/>
                <c:pt idx="0">
                  <c:v>Appr C</c:v>
                </c:pt>
              </c:strCache>
            </c:strRef>
          </c:tx>
          <c:spPr>
            <a:ln w="28575">
              <a:noFill/>
            </a:ln>
          </c:spPr>
          <c:marker>
            <c:symbol val="square"/>
            <c:size val="5"/>
            <c:spPr>
              <a:solidFill>
                <a:srgbClr val="FF0000"/>
              </a:solidFill>
              <a:ln>
                <a:solidFill>
                  <a:srgbClr val="FF0000"/>
                </a:solidFill>
                <a:prstDash val="solid"/>
              </a:ln>
            </c:spPr>
          </c:marker>
          <c:xVal>
            <c:numRef>
              <c:f>Graphical!$C$35:$L$35</c:f>
            </c:numRef>
          </c:xVal>
          <c:yVal>
            <c:numRef>
              <c:f>Graphical!$C$32:$L$32</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1696873280"/>
        <c:axId val="1696876000"/>
      </c:scatterChart>
      <c:valAx>
        <c:axId val="1696873280"/>
        <c:scaling>
          <c:orientation val="minMax"/>
        </c:scaling>
        <c:delete val="0"/>
        <c:axPos val="b"/>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96876000"/>
        <c:crosses val="autoZero"/>
        <c:crossBetween val="midCat"/>
      </c:valAx>
      <c:valAx>
        <c:axId val="1696876000"/>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1696873280"/>
        <c:crosses val="autoZero"/>
        <c:crossBetween val="midCat"/>
      </c:valAx>
      <c:spPr>
        <a:noFill/>
        <a:ln w="12700">
          <a:solidFill>
            <a:srgbClr val="808080"/>
          </a:solidFill>
          <a:prstDash val="solid"/>
        </a:ln>
      </c:spPr>
    </c:plotArea>
    <c:legend>
      <c:legendPos val="r"/>
      <c:layout>
        <c:manualLayout>
          <c:xMode val="edge"/>
          <c:yMode val="edge"/>
          <c:x val="0.86111248518000216"/>
          <c:y val="0.46238938053097345"/>
          <c:w val="0.12418320469389026"/>
          <c:h val="0.16150442477876106"/>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Arial"/>
                <a:ea typeface="Arial"/>
                <a:cs typeface="Arial"/>
              </a:defRPr>
            </a:pPr>
            <a:r>
              <a:rPr lang="en-US"/>
              <a:t>Comparison XY Plot</a:t>
            </a:r>
          </a:p>
        </c:rich>
      </c:tx>
      <c:layout>
        <c:manualLayout>
          <c:xMode val="edge"/>
          <c:yMode val="edge"/>
          <c:x val="0.3316998610467809"/>
          <c:y val="3.4482758620689655E-2"/>
        </c:manualLayout>
      </c:layout>
      <c:overlay val="0"/>
      <c:spPr>
        <a:noFill/>
        <a:ln w="25400">
          <a:noFill/>
        </a:ln>
      </c:spPr>
    </c:title>
    <c:autoTitleDeleted val="0"/>
    <c:plotArea>
      <c:layout>
        <c:manualLayout>
          <c:layoutTarget val="inner"/>
          <c:xMode val="edge"/>
          <c:yMode val="edge"/>
          <c:x val="0.15008168561512733"/>
          <c:y val="0.22126498873301884"/>
          <c:w val="0.78956017214914809"/>
          <c:h val="0.54885211490917662"/>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Ref>
              <c:f>Graphical!$C$22:$L$22</c:f>
            </c:numRef>
          </c:xVal>
          <c:yVal>
            <c:numRef>
              <c:f>Graphical!$C$27:$L$27</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1696873824"/>
        <c:axId val="1696867840"/>
      </c:scatterChart>
      <c:valAx>
        <c:axId val="169687382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Appr A</a:t>
                </a:r>
              </a:p>
            </c:rich>
          </c:tx>
          <c:layout>
            <c:manualLayout>
              <c:xMode val="edge"/>
              <c:yMode val="edge"/>
              <c:x val="0.49673288387971115"/>
              <c:y val="0.8735656318822215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96867840"/>
        <c:crosses val="autoZero"/>
        <c:crossBetween val="midCat"/>
      </c:valAx>
      <c:valAx>
        <c:axId val="169686784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Appr B</a:t>
                </a:r>
              </a:p>
            </c:rich>
          </c:tx>
          <c:layout>
            <c:manualLayout>
              <c:xMode val="edge"/>
              <c:yMode val="edge"/>
              <c:x val="2.6143790849673203E-2"/>
              <c:y val="0.4137943101939843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9687382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Arial"/>
                <a:ea typeface="Arial"/>
                <a:cs typeface="Arial"/>
              </a:defRPr>
            </a:pPr>
            <a:r>
              <a:rPr lang="en-US"/>
              <a:t>Comparison XY Plot</a:t>
            </a:r>
          </a:p>
        </c:rich>
      </c:tx>
      <c:layout>
        <c:manualLayout>
          <c:xMode val="edge"/>
          <c:yMode val="edge"/>
          <c:x val="0.33278990207790093"/>
          <c:y val="3.4383954154727794E-2"/>
        </c:manualLayout>
      </c:layout>
      <c:overlay val="0"/>
      <c:spPr>
        <a:noFill/>
        <a:ln w="25400">
          <a:noFill/>
        </a:ln>
      </c:spPr>
    </c:title>
    <c:autoTitleDeleted val="0"/>
    <c:plotArea>
      <c:layout>
        <c:manualLayout>
          <c:layoutTarget val="inner"/>
          <c:xMode val="edge"/>
          <c:yMode val="edge"/>
          <c:x val="0.14983713355048861"/>
          <c:y val="0.22063068117428308"/>
          <c:w val="0.78990228013029318"/>
          <c:h val="0.55014403617483576"/>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Ref>
              <c:f>Graphical!$C$22:$L$22</c:f>
            </c:numRef>
          </c:xVal>
          <c:yVal>
            <c:numRef>
              <c:f>Graphical!$C$32:$L$32</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1696869472"/>
        <c:axId val="1696868928"/>
      </c:scatterChart>
      <c:valAx>
        <c:axId val="169686947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Appr A</a:t>
                </a:r>
              </a:p>
            </c:rich>
          </c:tx>
          <c:layout>
            <c:manualLayout>
              <c:xMode val="edge"/>
              <c:yMode val="edge"/>
              <c:x val="0.49755336047920601"/>
              <c:y val="0.8739267047206491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96868928"/>
        <c:crosses val="autoZero"/>
        <c:crossBetween val="midCat"/>
      </c:valAx>
      <c:valAx>
        <c:axId val="169686892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Appr C</a:t>
                </a:r>
              </a:p>
            </c:rich>
          </c:tx>
          <c:layout>
            <c:manualLayout>
              <c:xMode val="edge"/>
              <c:yMode val="edge"/>
              <c:x val="2.6101141924959218E-2"/>
              <c:y val="0.4154733810136196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9686947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Arial"/>
                <a:ea typeface="Arial"/>
                <a:cs typeface="Arial"/>
              </a:defRPr>
            </a:pPr>
            <a:r>
              <a:rPr lang="en-US"/>
              <a:t>Comparison XY Plot</a:t>
            </a:r>
          </a:p>
        </c:rich>
      </c:tx>
      <c:layout>
        <c:manualLayout>
          <c:xMode val="edge"/>
          <c:yMode val="edge"/>
          <c:x val="0.33224755700325731"/>
          <c:y val="3.4285714285714287E-2"/>
        </c:manualLayout>
      </c:layout>
      <c:overlay val="0"/>
      <c:spPr>
        <a:noFill/>
        <a:ln w="25400">
          <a:noFill/>
        </a:ln>
      </c:spPr>
    </c:title>
    <c:autoTitleDeleted val="0"/>
    <c:plotArea>
      <c:layout>
        <c:manualLayout>
          <c:layoutTarget val="inner"/>
          <c:xMode val="edge"/>
          <c:yMode val="edge"/>
          <c:x val="0.14959373347582169"/>
          <c:y val="0.22"/>
          <c:w val="0.79024515727444944"/>
          <c:h val="0.55142857142857138"/>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Ref>
              <c:f>Graphical!$C$27:$L$27</c:f>
            </c:numRef>
          </c:xVal>
          <c:yVal>
            <c:numRef>
              <c:f>Graphical!$C$32:$L$32</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1696872736"/>
        <c:axId val="1696874368"/>
      </c:scatterChart>
      <c:valAx>
        <c:axId val="1696872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Appr B</a:t>
                </a:r>
              </a:p>
            </c:rich>
          </c:tx>
          <c:layout>
            <c:manualLayout>
              <c:xMode val="edge"/>
              <c:yMode val="edge"/>
              <c:x val="0.49674267100977199"/>
              <c:y val="0.8742857142857143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96874368"/>
        <c:crosses val="autoZero"/>
        <c:crossBetween val="midCat"/>
      </c:valAx>
      <c:valAx>
        <c:axId val="169687436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Appr C</a:t>
                </a:r>
              </a:p>
            </c:rich>
          </c:tx>
          <c:layout>
            <c:manualLayout>
              <c:xMode val="edge"/>
              <c:yMode val="edge"/>
              <c:x val="2.6058631921824105E-2"/>
              <c:y val="0.4142857142857143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96872736"/>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961137043245811E-2"/>
          <c:y val="7.6452827709371812E-2"/>
          <c:w val="0.91727602892624138"/>
          <c:h val="0.79816752128584056"/>
        </c:manualLayout>
      </c:layout>
      <c:lineChart>
        <c:grouping val="standard"/>
        <c:varyColors val="0"/>
        <c:ser>
          <c:idx val="0"/>
          <c:order val="0"/>
          <c:tx>
            <c:strRef>
              <c:f>'GR&amp;R X&amp;R'!$AH$15</c:f>
              <c:strCache>
                <c:ptCount val="1"/>
                <c:pt idx="0">
                  <c:v>UCL LINE</c:v>
                </c:pt>
              </c:strCache>
            </c:strRef>
          </c:tx>
          <c:spPr>
            <a:ln w="12700">
              <a:solidFill>
                <a:srgbClr val="FF0000"/>
              </a:solidFill>
              <a:prstDash val="solid"/>
            </a:ln>
          </c:spPr>
          <c:marker>
            <c:symbol val="none"/>
          </c:marker>
          <c:cat>
            <c:numRef>
              <c:f>'GR&amp;R X&amp;R'!$AI$14:$BL$14</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'GR&amp;R X&amp;R'!$AI$15:$BL$15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1"/>
          <c:tx>
            <c:strRef>
              <c:f>'GR&amp;R X&amp;R'!$AH$17</c:f>
              <c:strCache>
                <c:ptCount val="1"/>
                <c:pt idx="0">
                  <c:v>X</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'GR&amp;R X&amp;R'!$AI$14:$BL$14</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'GR&amp;R X&amp;R'!$AI$17:$BL$17</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2"/>
          <c:tx>
            <c:strRef>
              <c:f>'GR&amp;R X&amp;R'!$AH$18</c:f>
              <c:strCache>
                <c:ptCount val="1"/>
                <c:pt idx="0">
                  <c:v>LCL LINE</c:v>
                </c:pt>
              </c:strCache>
            </c:strRef>
          </c:tx>
          <c:spPr>
            <a:ln w="12700">
              <a:solidFill>
                <a:srgbClr val="FF0000"/>
              </a:solidFill>
              <a:prstDash val="solid"/>
            </a:ln>
          </c:spPr>
          <c:marker>
            <c:symbol val="none"/>
          </c:marker>
          <c:cat>
            <c:numRef>
              <c:f>'GR&amp;R X&amp;R'!$AI$14:$BL$14</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'GR&amp;R X&amp;R'!$AI$18:$BL$18</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3"/>
          <c:tx>
            <c:strRef>
              <c:f>'GR&amp;R X&amp;R'!$AH$16</c:f>
              <c:strCache>
                <c:ptCount val="1"/>
                <c:pt idx="0">
                  <c:v>AVERAGE</c:v>
                </c:pt>
              </c:strCache>
            </c:strRef>
          </c:tx>
          <c:spPr>
            <a:ln w="25400">
              <a:solidFill>
                <a:srgbClr val="008000"/>
              </a:solidFill>
              <a:prstDash val="solid"/>
            </a:ln>
          </c:spPr>
          <c:marker>
            <c:symbol val="none"/>
          </c:marker>
          <c:val>
            <c:numRef>
              <c:f>'GR&amp;R X&amp;R'!$AI$16:$BL$16</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smooth val="0"/>
        <c:axId val="1696865664"/>
        <c:axId val="1696870560"/>
      </c:lineChart>
      <c:catAx>
        <c:axId val="169686566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96870560"/>
        <c:crosses val="autoZero"/>
        <c:auto val="0"/>
        <c:lblAlgn val="ctr"/>
        <c:lblOffset val="100"/>
        <c:tickLblSkip val="1"/>
        <c:tickMarkSkip val="1"/>
        <c:noMultiLvlLbl val="0"/>
      </c:catAx>
      <c:valAx>
        <c:axId val="1696870560"/>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96865664"/>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33" r="0.75000000000000133"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71136522169375E-2"/>
          <c:y val="9.2879256965944179E-2"/>
          <c:w val="0.90476298358681451"/>
          <c:h val="0.76470588235294246"/>
        </c:manualLayout>
      </c:layout>
      <c:lineChart>
        <c:grouping val="standard"/>
        <c:varyColors val="0"/>
        <c:ser>
          <c:idx val="0"/>
          <c:order val="0"/>
          <c:spPr>
            <a:ln w="12700">
              <a:solidFill>
                <a:srgbClr val="FF0000"/>
              </a:solidFill>
              <a:prstDash val="solid"/>
            </a:ln>
          </c:spPr>
          <c:marker>
            <c:symbol val="none"/>
          </c:marker>
          <c:cat>
            <c:numRef>
              <c:f>'GR&amp;R X&amp;R'!$AI$36:$BL$36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'GR&amp;R X&amp;R'!$AI$37:$BL$37</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1"/>
          <c:spPr>
            <a:ln w="25400">
              <a:solidFill>
                <a:srgbClr val="008000"/>
              </a:solidFill>
              <a:prstDash val="solid"/>
            </a:ln>
          </c:spPr>
          <c:marker>
            <c:symbol val="none"/>
          </c:marker>
          <c:cat>
            <c:numRef>
              <c:f>'GR&amp;R X&amp;R'!$AI$36:$BL$36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'GR&amp;R X&amp;R'!$AI$38:$BL$38</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2"/>
          <c:spPr>
            <a:ln w="12700">
              <a:solidFill>
                <a:srgbClr val="0000FF"/>
              </a:solidFill>
              <a:prstDash val="solid"/>
            </a:ln>
          </c:spPr>
          <c:marker>
            <c:symbol val="circle"/>
            <c:size val="5"/>
            <c:spPr>
              <a:solidFill>
                <a:srgbClr val="0000FF"/>
              </a:solidFill>
              <a:ln>
                <a:solidFill>
                  <a:srgbClr val="0000FF"/>
                </a:solidFill>
                <a:prstDash val="solid"/>
              </a:ln>
            </c:spPr>
          </c:marker>
          <c:cat>
            <c:numRef>
              <c:f>'GR&amp;R X&amp;R'!$AI$36:$BL$36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'GR&amp;R X&amp;R'!$AI$39:$BL$39</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3"/>
          <c:spPr>
            <a:ln w="12700">
              <a:solidFill>
                <a:srgbClr val="FF0000"/>
              </a:solidFill>
              <a:prstDash val="solid"/>
            </a:ln>
          </c:spPr>
          <c:marker>
            <c:symbol val="none"/>
          </c:marker>
          <c:cat>
            <c:numRef>
              <c:f>'GR&amp;R X&amp;R'!$AI$36:$BL$36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'GR&amp;R X&amp;R'!$AI$40:$BL$40</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smooth val="0"/>
        <c:axId val="1696871104"/>
        <c:axId val="1696872192"/>
      </c:lineChart>
      <c:catAx>
        <c:axId val="169687110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96872192"/>
        <c:crosses val="autoZero"/>
        <c:auto val="0"/>
        <c:lblAlgn val="ctr"/>
        <c:lblOffset val="100"/>
        <c:tickLblSkip val="1"/>
        <c:tickMarkSkip val="1"/>
        <c:noMultiLvlLbl val="0"/>
      </c:catAx>
      <c:valAx>
        <c:axId val="1696872192"/>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96871104"/>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33" r="0.75000000000000133"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028901734104042E-2"/>
          <c:y val="8.5714435188398705E-2"/>
          <c:w val="0.90462427745664764"/>
          <c:h val="0.77142991669558991"/>
        </c:manualLayout>
      </c:layout>
      <c:lineChart>
        <c:grouping val="standard"/>
        <c:varyColors val="0"/>
        <c:ser>
          <c:idx val="0"/>
          <c:order val="0"/>
          <c:tx>
            <c:strRef>
              <c:f>'Gage R'!$AH$16</c:f>
              <c:strCache>
                <c:ptCount val="1"/>
                <c:pt idx="0">
                  <c:v>UCL LINE</c:v>
                </c:pt>
              </c:strCache>
            </c:strRef>
          </c:tx>
          <c:spPr>
            <a:ln w="12700">
              <a:solidFill>
                <a:srgbClr val="FF0000"/>
              </a:solidFill>
              <a:prstDash val="solid"/>
            </a:ln>
          </c:spPr>
          <c:marker>
            <c:symbol val="none"/>
          </c:marker>
          <c:cat>
            <c:numRef>
              <c:f>'Gage R'!$AI$15:$AR$15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'Gage R'!$AI$16:$AR$16</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'Gage R'!$AH$18</c:f>
              <c:strCache>
                <c:ptCount val="1"/>
                <c:pt idx="0">
                  <c:v>X</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'Gage R'!$AI$15:$AR$15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'Gage R'!$AI$18:$AR$18</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'Gage R'!$AH$19</c:f>
              <c:strCache>
                <c:ptCount val="1"/>
                <c:pt idx="0">
                  <c:v>LCL LINE</c:v>
                </c:pt>
              </c:strCache>
            </c:strRef>
          </c:tx>
          <c:spPr>
            <a:ln w="12700">
              <a:solidFill>
                <a:srgbClr val="FF0000"/>
              </a:solidFill>
              <a:prstDash val="solid"/>
            </a:ln>
          </c:spPr>
          <c:marker>
            <c:symbol val="none"/>
          </c:marker>
          <c:cat>
            <c:numRef>
              <c:f>'Gage R'!$AI$15:$AR$15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'Gage R'!$AI$19:$AR$19</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strRef>
              <c:f>'Gage R'!$AH$17</c:f>
              <c:strCache>
                <c:ptCount val="1"/>
                <c:pt idx="0">
                  <c:v>AVERAGE</c:v>
                </c:pt>
              </c:strCache>
            </c:strRef>
          </c:tx>
          <c:spPr>
            <a:ln w="25400">
              <a:solidFill>
                <a:srgbClr val="008000"/>
              </a:solidFill>
              <a:prstDash val="solid"/>
            </a:ln>
          </c:spPr>
          <c:marker>
            <c:symbol val="none"/>
          </c:marker>
          <c:cat>
            <c:numRef>
              <c:f>'Gage R'!$AI$15:$AR$15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'Gage R'!$AI$17:$AR$17</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smooth val="0"/>
        <c:axId val="1698496528"/>
        <c:axId val="1698491088"/>
      </c:lineChart>
      <c:catAx>
        <c:axId val="1698496528"/>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98491088"/>
        <c:crosses val="autoZero"/>
        <c:auto val="0"/>
        <c:lblAlgn val="ctr"/>
        <c:lblOffset val="100"/>
        <c:tickLblSkip val="1"/>
        <c:tickMarkSkip val="1"/>
        <c:noMultiLvlLbl val="0"/>
      </c:catAx>
      <c:valAx>
        <c:axId val="1698491088"/>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98496528"/>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33" r="0.75000000000000133"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27959586181374E-2"/>
          <c:y val="0.15135135135135144"/>
          <c:w val="0.88808202563052552"/>
          <c:h val="0.61081081081081212"/>
        </c:manualLayout>
      </c:layout>
      <c:lineChart>
        <c:grouping val="standard"/>
        <c:varyColors val="0"/>
        <c:ser>
          <c:idx val="0"/>
          <c:order val="0"/>
          <c:tx>
            <c:strRef>
              <c:f>'Gage R'!$AH$38</c:f>
              <c:strCache>
                <c:ptCount val="1"/>
                <c:pt idx="0">
                  <c:v>UCL LINE</c:v>
                </c:pt>
              </c:strCache>
            </c:strRef>
          </c:tx>
          <c:spPr>
            <a:ln w="12700">
              <a:solidFill>
                <a:srgbClr val="FF0000"/>
              </a:solidFill>
              <a:prstDash val="solid"/>
            </a:ln>
          </c:spPr>
          <c:marker>
            <c:symbol val="none"/>
          </c:marker>
          <c:cat>
            <c:numRef>
              <c:f>'Gage R'!$AI$37:$AR$37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'Gage R'!$AI$38:$AR$38</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'Gage R'!$AH$39</c:f>
              <c:strCache>
                <c:ptCount val="1"/>
                <c:pt idx="0">
                  <c:v>AVERAGE</c:v>
                </c:pt>
              </c:strCache>
            </c:strRef>
          </c:tx>
          <c:spPr>
            <a:ln w="25400">
              <a:solidFill>
                <a:srgbClr val="008000"/>
              </a:solidFill>
              <a:prstDash val="solid"/>
            </a:ln>
          </c:spPr>
          <c:marker>
            <c:symbol val="none"/>
          </c:marker>
          <c:cat>
            <c:numRef>
              <c:f>'Gage R'!$AI$37:$AR$37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'Gage R'!$AI$39:$AR$39</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'Gage R'!$AH$40</c:f>
              <c:strCache>
                <c:ptCount val="1"/>
                <c:pt idx="0">
                  <c:v>RANGE</c:v>
                </c:pt>
              </c:strCache>
            </c:strRef>
          </c:tx>
          <c:spPr>
            <a:ln w="12700">
              <a:solidFill>
                <a:srgbClr val="0000FF"/>
              </a:solidFill>
              <a:prstDash val="solid"/>
            </a:ln>
          </c:spPr>
          <c:marker>
            <c:symbol val="circle"/>
            <c:size val="5"/>
            <c:spPr>
              <a:solidFill>
                <a:srgbClr val="0000FF"/>
              </a:solidFill>
              <a:ln>
                <a:solidFill>
                  <a:srgbClr val="0000FF"/>
                </a:solidFill>
                <a:prstDash val="solid"/>
              </a:ln>
            </c:spPr>
          </c:marker>
          <c:cat>
            <c:numRef>
              <c:f>'Gage R'!$AI$37:$AR$37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'Gage R'!$AI$40:$AR$40</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strRef>
              <c:f>'Gage R'!$AH$41</c:f>
              <c:strCache>
                <c:ptCount val="1"/>
                <c:pt idx="0">
                  <c:v>LCL LINE</c:v>
                </c:pt>
              </c:strCache>
            </c:strRef>
          </c:tx>
          <c:spPr>
            <a:ln w="12700">
              <a:solidFill>
                <a:srgbClr val="FF0000"/>
              </a:solidFill>
              <a:prstDash val="solid"/>
            </a:ln>
          </c:spPr>
          <c:marker>
            <c:symbol val="none"/>
          </c:marker>
          <c:cat>
            <c:numRef>
              <c:f>'Gage R'!$AI$37:$AR$37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'Gage R'!$AI$41:$AR$41</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smooth val="0"/>
        <c:axId val="1698500880"/>
        <c:axId val="1698502512"/>
      </c:lineChart>
      <c:catAx>
        <c:axId val="16985008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98502512"/>
        <c:crosses val="autoZero"/>
        <c:auto val="0"/>
        <c:lblAlgn val="ctr"/>
        <c:lblOffset val="100"/>
        <c:tickLblSkip val="1"/>
        <c:tickMarkSkip val="1"/>
        <c:noMultiLvlLbl val="0"/>
      </c:catAx>
      <c:valAx>
        <c:axId val="1698502512"/>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98500880"/>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33" r="0.75000000000000133" t="1" header="0.5" footer="0.5"/>
    <c:pageSetup orientation="landscape" horizontalDpi="-4"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spPr>
            <a:ln w="25400">
              <a:solidFill>
                <a:srgbClr val="000080"/>
              </a:solidFill>
              <a:prstDash val="solid"/>
            </a:ln>
          </c:spPr>
          <c:marker>
            <c:symbol val="none"/>
          </c:marker>
          <c:x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xVal>
          <c:y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yVal>
          <c:smooth val="1"/>
        </c:ser>
        <c:ser>
          <c:idx val="1"/>
          <c:order val="1"/>
          <c:spPr>
            <a:ln w="25400">
              <a:solidFill>
                <a:srgbClr val="FF0000"/>
              </a:solidFill>
              <a:prstDash val="solid"/>
            </a:ln>
          </c:spPr>
          <c:marker>
            <c:symbol val="none"/>
          </c:marker>
          <c:x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xVal>
          <c:y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yVal>
          <c:smooth val="1"/>
        </c:ser>
        <c:dLbls>
          <c:showLegendKey val="0"/>
          <c:showVal val="0"/>
          <c:showCatName val="0"/>
          <c:showSerName val="0"/>
          <c:showPercent val="0"/>
          <c:showBubbleSize val="0"/>
        </c:dLbls>
        <c:axId val="1927067632"/>
        <c:axId val="1927068176"/>
      </c:scatterChart>
      <c:valAx>
        <c:axId val="1927067632"/>
        <c:scaling>
          <c:orientation val="minMax"/>
          <c:max val="55"/>
          <c:min val="5"/>
        </c:scaling>
        <c:delete val="0"/>
        <c:axPos val="b"/>
        <c:numFmt formatCode="0.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27068176"/>
        <c:crosses val="autoZero"/>
        <c:crossBetween val="midCat"/>
        <c:majorUnit val="5"/>
        <c:minorUnit val="5"/>
      </c:valAx>
      <c:valAx>
        <c:axId val="192706817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1927067632"/>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204" verticalDpi="196"/>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187642131881123E-2"/>
          <c:y val="7.3529517362013672E-2"/>
          <c:w val="0.92318181561683954"/>
          <c:h val="0.77941288403734499"/>
        </c:manualLayout>
      </c:layout>
      <c:scatterChart>
        <c:scatterStyle val="smoothMarker"/>
        <c:varyColors val="0"/>
        <c:ser>
          <c:idx val="0"/>
          <c:order val="0"/>
          <c:tx>
            <c:v>Capability Ongoing</c:v>
          </c:tx>
          <c:spPr>
            <a:ln w="25400">
              <a:solidFill>
                <a:srgbClr val="000080"/>
              </a:solidFill>
              <a:prstDash val="solid"/>
            </a:ln>
          </c:spPr>
          <c:marker>
            <c:symbol val="none"/>
          </c:marker>
          <c:x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xVal>
          <c:yVal>
            <c:numLit>
              <c:formatCode>General</c:formatCode>
              <c:ptCount val="24"/>
              <c:pt idx="0">
                <c:v>5.0000000000000001E-4</c:v>
              </c:pt>
              <c:pt idx="1">
                <c:v>1.6999999999999999E-3</c:v>
              </c:pt>
              <c:pt idx="2">
                <c:v>5.1000000000000004E-3</c:v>
              </c:pt>
              <c:pt idx="3">
                <c:v>1.3599999999999999E-2</c:v>
              </c:pt>
              <c:pt idx="4">
                <c:v>3.1699999999999999E-2</c:v>
              </c:pt>
              <c:pt idx="5">
                <c:v>6.5600000000000006E-2</c:v>
              </c:pt>
              <c:pt idx="6">
                <c:v>0.12</c:v>
              </c:pt>
              <c:pt idx="7">
                <c:v>0.19420000000000001</c:v>
              </c:pt>
              <c:pt idx="8">
                <c:v>0.2661</c:v>
              </c:pt>
              <c:pt idx="9">
                <c:v>0.3332</c:v>
              </c:pt>
              <c:pt idx="10">
                <c:v>0.38140000000000002</c:v>
              </c:pt>
              <c:pt idx="11">
                <c:v>0.39889999999999998</c:v>
              </c:pt>
              <c:pt idx="12">
                <c:v>0.39889999999999998</c:v>
              </c:pt>
              <c:pt idx="13">
                <c:v>0.38140000000000002</c:v>
              </c:pt>
              <c:pt idx="14">
                <c:v>0.3332</c:v>
              </c:pt>
              <c:pt idx="15">
                <c:v>0.2661</c:v>
              </c:pt>
              <c:pt idx="16">
                <c:v>0.19420000000000001</c:v>
              </c:pt>
              <c:pt idx="17">
                <c:v>0.12</c:v>
              </c:pt>
              <c:pt idx="18">
                <c:v>6.5600000000000006E-2</c:v>
              </c:pt>
              <c:pt idx="19">
                <c:v>3.1699999999999999E-2</c:v>
              </c:pt>
              <c:pt idx="20">
                <c:v>1.3599999999999999E-2</c:v>
              </c:pt>
              <c:pt idx="21">
                <c:v>5.1000000000000004E-3</c:v>
              </c:pt>
              <c:pt idx="22">
                <c:v>1.6999999999999999E-3</c:v>
              </c:pt>
              <c:pt idx="23">
                <c:v>5.0000000000000001E-4</c:v>
              </c:pt>
            </c:numLit>
          </c:yVal>
          <c:smooth val="1"/>
        </c:ser>
        <c:ser>
          <c:idx val="1"/>
          <c:order val="1"/>
          <c:tx>
            <c:v>"Upper &amp; LOwer Spec Limit"</c:v>
          </c:tx>
          <c:spPr>
            <a:ln w="25400">
              <a:solidFill>
                <a:srgbClr val="FF0000"/>
              </a:solidFill>
              <a:prstDash val="solid"/>
            </a:ln>
          </c:spPr>
          <c:marker>
            <c:symbol val="none"/>
          </c:marker>
          <c:xVal>
            <c:numLit>
              <c:formatCode>General</c:formatCode>
              <c:ptCount val="24"/>
              <c:pt idx="0">
                <c:v>0</c:v>
              </c:pt>
              <c:pt idx="1">
                <c:v>0</c:v>
              </c:pt>
              <c:pt idx="2">
                <c:v>0</c:v>
              </c:pt>
              <c:pt idx="3">
                <c:v>0</c:v>
              </c:pt>
              <c:pt idx="4">
                <c:v>0</c:v>
              </c:pt>
              <c:pt idx="5">
                <c:v>0</c:v>
              </c:pt>
              <c:pt idx="6">
                <c:v>0</c:v>
              </c:pt>
              <c:pt idx="7">
                <c:v>0</c:v>
              </c:pt>
              <c:pt idx="8">
                <c:v>0</c:v>
              </c:pt>
              <c:pt idx="9">
                <c:v>0</c:v>
              </c:pt>
              <c:pt idx="10">
                <c:v>0</c:v>
              </c:pt>
              <c:pt idx="13">
                <c:v>0</c:v>
              </c:pt>
              <c:pt idx="14">
                <c:v>0</c:v>
              </c:pt>
              <c:pt idx="15">
                <c:v>0</c:v>
              </c:pt>
              <c:pt idx="16">
                <c:v>0</c:v>
              </c:pt>
              <c:pt idx="17">
                <c:v>0</c:v>
              </c:pt>
              <c:pt idx="18">
                <c:v>0</c:v>
              </c:pt>
              <c:pt idx="19">
                <c:v>0</c:v>
              </c:pt>
              <c:pt idx="20">
                <c:v>0</c:v>
              </c:pt>
              <c:pt idx="21">
                <c:v>0</c:v>
              </c:pt>
              <c:pt idx="22">
                <c:v>0</c:v>
              </c:pt>
              <c:pt idx="23">
                <c:v>0</c:v>
              </c:pt>
            </c:numLit>
          </c:xVal>
          <c:yVal>
            <c:numLit>
              <c:formatCode>General</c:formatCode>
              <c:ptCount val="24"/>
              <c:pt idx="0">
                <c:v>5.0000000000000001E-4</c:v>
              </c:pt>
              <c:pt idx="1">
                <c:v>1.6999999999999999E-3</c:v>
              </c:pt>
              <c:pt idx="2">
                <c:v>5.1000000000000004E-3</c:v>
              </c:pt>
              <c:pt idx="3">
                <c:v>1.3599999999999999E-2</c:v>
              </c:pt>
              <c:pt idx="4">
                <c:v>3.1699999999999999E-2</c:v>
              </c:pt>
              <c:pt idx="5">
                <c:v>6.5600000000000006E-2</c:v>
              </c:pt>
              <c:pt idx="6">
                <c:v>0.12</c:v>
              </c:pt>
              <c:pt idx="7">
                <c:v>0.19420000000000001</c:v>
              </c:pt>
              <c:pt idx="8">
                <c:v>0.2661</c:v>
              </c:pt>
              <c:pt idx="9">
                <c:v>0.3332</c:v>
              </c:pt>
              <c:pt idx="10">
                <c:v>0.38140000000000002</c:v>
              </c:pt>
              <c:pt idx="11">
                <c:v>0.39889999999999998</c:v>
              </c:pt>
              <c:pt idx="12">
                <c:v>0.39889999999999998</c:v>
              </c:pt>
              <c:pt idx="13">
                <c:v>0.38140000000000002</c:v>
              </c:pt>
              <c:pt idx="14">
                <c:v>0.3332</c:v>
              </c:pt>
              <c:pt idx="15">
                <c:v>0.2661</c:v>
              </c:pt>
              <c:pt idx="16">
                <c:v>0.19420000000000001</c:v>
              </c:pt>
              <c:pt idx="17">
                <c:v>0.12</c:v>
              </c:pt>
              <c:pt idx="18">
                <c:v>6.5600000000000006E-2</c:v>
              </c:pt>
              <c:pt idx="19">
                <c:v>3.1699999999999999E-2</c:v>
              </c:pt>
              <c:pt idx="20">
                <c:v>1.3599999999999999E-2</c:v>
              </c:pt>
              <c:pt idx="21">
                <c:v>5.1000000000000004E-3</c:v>
              </c:pt>
              <c:pt idx="22">
                <c:v>1.6999999999999999E-3</c:v>
              </c:pt>
              <c:pt idx="23">
                <c:v>5.0000000000000001E-4</c:v>
              </c:pt>
            </c:numLit>
          </c:yVal>
          <c:smooth val="1"/>
        </c:ser>
        <c:ser>
          <c:idx val="4"/>
          <c:order val="2"/>
          <c:tx>
            <c:v>Curve Capability</c:v>
          </c:tx>
          <c:spPr>
            <a:ln w="12700">
              <a:solidFill>
                <a:srgbClr val="3366FF"/>
              </a:solidFill>
              <a:prstDash val="lgDash"/>
            </a:ln>
          </c:spPr>
          <c:marker>
            <c:symbol val="none"/>
          </c:marker>
          <c:xVal>
            <c:numLit>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Lit>
          </c:xVal>
          <c:yVal>
            <c:numLit>
              <c:formatCode>General</c:formatCode>
              <c:ptCount val="24"/>
              <c:pt idx="0">
                <c:v>5.0000000000000001E-4</c:v>
              </c:pt>
              <c:pt idx="1">
                <c:v>1.6999999999999999E-3</c:v>
              </c:pt>
              <c:pt idx="2">
                <c:v>5.1000000000000004E-3</c:v>
              </c:pt>
              <c:pt idx="3">
                <c:v>1.3599999999999999E-2</c:v>
              </c:pt>
              <c:pt idx="4">
                <c:v>3.1699999999999999E-2</c:v>
              </c:pt>
              <c:pt idx="5">
                <c:v>6.5600000000000006E-2</c:v>
              </c:pt>
              <c:pt idx="6">
                <c:v>0.12</c:v>
              </c:pt>
              <c:pt idx="7">
                <c:v>0.19420000000000001</c:v>
              </c:pt>
              <c:pt idx="8">
                <c:v>0.2661</c:v>
              </c:pt>
              <c:pt idx="9">
                <c:v>0.3332</c:v>
              </c:pt>
              <c:pt idx="10">
                <c:v>0.38140000000000002</c:v>
              </c:pt>
              <c:pt idx="11">
                <c:v>0.39889999999999998</c:v>
              </c:pt>
              <c:pt idx="12">
                <c:v>0.39889999999999998</c:v>
              </c:pt>
              <c:pt idx="13">
                <c:v>0.38140000000000002</c:v>
              </c:pt>
              <c:pt idx="14">
                <c:v>0.3332</c:v>
              </c:pt>
              <c:pt idx="15">
                <c:v>0.2661</c:v>
              </c:pt>
              <c:pt idx="16">
                <c:v>0.19420000000000001</c:v>
              </c:pt>
              <c:pt idx="17">
                <c:v>0.12</c:v>
              </c:pt>
              <c:pt idx="18">
                <c:v>6.5600000000000006E-2</c:v>
              </c:pt>
              <c:pt idx="19">
                <c:v>3.1699999999999999E-2</c:v>
              </c:pt>
              <c:pt idx="20">
                <c:v>1.3599999999999999E-2</c:v>
              </c:pt>
              <c:pt idx="21">
                <c:v>5.1000000000000004E-3</c:v>
              </c:pt>
              <c:pt idx="22">
                <c:v>1.6999999999999999E-3</c:v>
              </c:pt>
              <c:pt idx="23">
                <c:v>5.0000000000000001E-4</c:v>
              </c:pt>
            </c:numLit>
          </c:yVal>
          <c:smooth val="1"/>
        </c:ser>
        <c:dLbls>
          <c:showLegendKey val="0"/>
          <c:showVal val="0"/>
          <c:showCatName val="0"/>
          <c:showSerName val="0"/>
          <c:showPercent val="0"/>
          <c:showBubbleSize val="0"/>
        </c:dLbls>
        <c:axId val="1927061648"/>
        <c:axId val="1927070352"/>
      </c:scatterChart>
      <c:valAx>
        <c:axId val="1927061648"/>
        <c:scaling>
          <c:orientation val="minMax"/>
        </c:scaling>
        <c:delete val="0"/>
        <c:axPos val="b"/>
        <c:numFmt formatCode="0.0000" sourceLinked="0"/>
        <c:majorTickMark val="cross"/>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927070352"/>
        <c:crosses val="autoZero"/>
        <c:crossBetween val="midCat"/>
      </c:valAx>
      <c:valAx>
        <c:axId val="1927070352"/>
        <c:scaling>
          <c:orientation val="minMax"/>
        </c:scaling>
        <c:delete val="0"/>
        <c:axPos val="l"/>
        <c:numFmt formatCode="0.00" sourceLinked="0"/>
        <c:majorTickMark val="cross"/>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927061648"/>
        <c:crosses val="autoZero"/>
        <c:crossBetween val="midCat"/>
      </c:valAx>
      <c:spPr>
        <a:noFill/>
        <a:ln w="25400">
          <a:noFill/>
        </a:ln>
      </c:spPr>
    </c:plotArea>
    <c:plotVisOnly val="1"/>
    <c:dispBlanksAs val="gap"/>
    <c:showDLblsOverMax val="0"/>
  </c:chart>
  <c:spPr>
    <a:gradFill rotWithShape="0">
      <a:gsLst>
        <a:gs pos="0">
          <a:srgbClr xmlns:mc="http://schemas.openxmlformats.org/markup-compatibility/2006" xmlns:a14="http://schemas.microsoft.com/office/drawing/2010/main" val="336666" mc:Ignorable="a14" a14:legacySpreadsheetColorIndex="57"/>
        </a:gs>
        <a:gs pos="5000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336666" mc:Ignorable="a14" a14:legacySpreadsheetColorIndex="57"/>
        </a:gs>
      </a:gsLst>
      <a:lin ang="2700000" scaled="1"/>
    </a:gradFill>
    <a:ln w="25400">
      <a:solidFill>
        <a:srgbClr val="000000"/>
      </a:solidFill>
      <a:prstDash val="solid"/>
    </a:ln>
    <a:effectLst>
      <a:outerShdw dist="35921" dir="2700000" algn="br">
        <a:srgbClr val="000000"/>
      </a:outerShdw>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Average Chart -"Stacked"</a:t>
            </a:r>
          </a:p>
        </c:rich>
      </c:tx>
      <c:layout>
        <c:manualLayout>
          <c:xMode val="edge"/>
          <c:yMode val="edge"/>
          <c:x val="0.32996686020308064"/>
          <c:y val="3.5256410256410256E-2"/>
        </c:manualLayout>
      </c:layout>
      <c:overlay val="0"/>
      <c:spPr>
        <a:noFill/>
        <a:ln w="25400">
          <a:noFill/>
        </a:ln>
      </c:spPr>
    </c:title>
    <c:autoTitleDeleted val="0"/>
    <c:plotArea>
      <c:layout>
        <c:manualLayout>
          <c:layoutTarget val="inner"/>
          <c:xMode val="edge"/>
          <c:yMode val="edge"/>
          <c:x val="0.15488240951574594"/>
          <c:y val="0.22115453836932333"/>
          <c:w val="0.57575852233027414"/>
          <c:h val="0.52243753266956094"/>
        </c:manualLayout>
      </c:layout>
      <c:lineChart>
        <c:grouping val="standard"/>
        <c:varyColors val="0"/>
        <c:ser>
          <c:idx val="0"/>
          <c:order val="0"/>
          <c:tx>
            <c:strRef>
              <c:f>Graphical!$J$8</c:f>
              <c:strCache>
                <c:ptCount val="1"/>
                <c:pt idx="0">
                  <c:v>Appraiser 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Graphical!$C$18:$L$18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Graphical!$C$22:$L$22</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Graphical!$J$10</c:f>
              <c:strCache>
                <c:ptCount val="1"/>
                <c:pt idx="0">
                  <c:v>Appraiser B</c:v>
                </c:pt>
              </c:strCache>
            </c:strRef>
          </c:tx>
          <c:spPr>
            <a:ln w="12700">
              <a:solidFill>
                <a:srgbClr val="FF00FF"/>
              </a:solidFill>
              <a:prstDash val="sysDash"/>
            </a:ln>
          </c:spPr>
          <c:marker>
            <c:symbol val="square"/>
            <c:size val="5"/>
            <c:spPr>
              <a:solidFill>
                <a:srgbClr val="FF00FF"/>
              </a:solidFill>
              <a:ln>
                <a:solidFill>
                  <a:srgbClr val="FF00FF"/>
                </a:solidFill>
                <a:prstDash val="solid"/>
              </a:ln>
            </c:spPr>
          </c:marker>
          <c:cat>
            <c:numRef>
              <c:f>Graphical!$C$18:$L$18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Graphical!$C$27:$L$27</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Graphical!$J$12</c:f>
              <c:strCache>
                <c:ptCount val="1"/>
                <c:pt idx="0">
                  <c:v>Appraiser C</c:v>
                </c:pt>
              </c:strCache>
            </c:strRef>
          </c:tx>
          <c:spPr>
            <a:ln w="12700">
              <a:solidFill>
                <a:srgbClr val="424242"/>
              </a:solidFill>
              <a:prstDash val="solid"/>
            </a:ln>
          </c:spPr>
          <c:marker>
            <c:symbol val="triangle"/>
            <c:size val="5"/>
            <c:spPr>
              <a:solidFill>
                <a:srgbClr val="424242"/>
              </a:solidFill>
              <a:ln>
                <a:solidFill>
                  <a:srgbClr val="424242"/>
                </a:solidFill>
                <a:prstDash val="solid"/>
              </a:ln>
            </c:spPr>
          </c:marker>
          <c:cat>
            <c:numRef>
              <c:f>Graphical!$C$18:$L$18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Graphical!$C$32:$L$32</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strRef>
              <c:f>Graphical!$P$45</c:f>
              <c:strCache>
                <c:ptCount val="1"/>
                <c:pt idx="0">
                  <c:v>Upper Spec</c:v>
                </c:pt>
              </c:strCache>
            </c:strRef>
          </c:tx>
          <c:spPr>
            <a:ln w="25400">
              <a:solidFill>
                <a:srgbClr val="339933"/>
              </a:solidFill>
              <a:prstDash val="solid"/>
            </a:ln>
          </c:spPr>
          <c:marker>
            <c:symbol val="none"/>
          </c:marker>
          <c:val>
            <c:numRef>
              <c:f>Graphical!$Q$45:$Z$45</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4"/>
          <c:order val="4"/>
          <c:tx>
            <c:strRef>
              <c:f>Graphical!$P$46</c:f>
              <c:strCache>
                <c:ptCount val="1"/>
                <c:pt idx="0">
                  <c:v>Lower Spec</c:v>
                </c:pt>
              </c:strCache>
            </c:strRef>
          </c:tx>
          <c:spPr>
            <a:ln w="25400">
              <a:solidFill>
                <a:srgbClr val="339933"/>
              </a:solidFill>
              <a:prstDash val="lgDash"/>
            </a:ln>
          </c:spPr>
          <c:marker>
            <c:symbol val="none"/>
          </c:marker>
          <c:val>
            <c:numRef>
              <c:f>Graphical!$Q$46:$Z$46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1927073616"/>
        <c:axId val="1927071440"/>
      </c:lineChart>
      <c:catAx>
        <c:axId val="192707361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Part Number</a:t>
                </a:r>
              </a:p>
            </c:rich>
          </c:tx>
          <c:layout>
            <c:manualLayout>
              <c:xMode val="edge"/>
              <c:yMode val="edge"/>
              <c:x val="0.35690288713910756"/>
              <c:y val="0.858977050945554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27071440"/>
        <c:crosses val="autoZero"/>
        <c:auto val="1"/>
        <c:lblAlgn val="ctr"/>
        <c:lblOffset val="100"/>
        <c:tickLblSkip val="1"/>
        <c:tickMarkSkip val="1"/>
        <c:noMultiLvlLbl val="0"/>
      </c:catAx>
      <c:valAx>
        <c:axId val="192707144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a:t>
                </a:r>
              </a:p>
            </c:rich>
          </c:tx>
          <c:layout>
            <c:manualLayout>
              <c:xMode val="edge"/>
              <c:yMode val="edge"/>
              <c:x val="2.6936026936026935E-2"/>
              <c:y val="0.371795881284070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27073616"/>
        <c:crosses val="autoZero"/>
        <c:crossBetween val="between"/>
      </c:valAx>
      <c:spPr>
        <a:noFill/>
        <a:ln w="12700">
          <a:solidFill>
            <a:srgbClr val="808080"/>
          </a:solidFill>
          <a:prstDash val="solid"/>
        </a:ln>
      </c:spPr>
    </c:plotArea>
    <c:legend>
      <c:legendPos val="r"/>
      <c:layout>
        <c:manualLayout>
          <c:xMode val="edge"/>
          <c:yMode val="edge"/>
          <c:x val="0.74958044706903815"/>
          <c:y val="0.29166757958852785"/>
          <c:w val="0.23697498438729681"/>
          <c:h val="0.3878217267056249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horizontalDpi="-4"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Range Chart -"Stacked"</a:t>
            </a:r>
          </a:p>
        </c:rich>
      </c:tx>
      <c:layout>
        <c:manualLayout>
          <c:xMode val="edge"/>
          <c:yMode val="edge"/>
          <c:x val="0.34285749575420715"/>
          <c:y val="3.5714285714285712E-2"/>
        </c:manualLayout>
      </c:layout>
      <c:overlay val="0"/>
      <c:spPr>
        <a:noFill/>
        <a:ln w="25400">
          <a:noFill/>
        </a:ln>
      </c:spPr>
    </c:title>
    <c:autoTitleDeleted val="0"/>
    <c:plotArea>
      <c:layout>
        <c:manualLayout>
          <c:layoutTarget val="inner"/>
          <c:xMode val="edge"/>
          <c:yMode val="edge"/>
          <c:x val="0.14453793373977"/>
          <c:y val="0.22402597402597402"/>
          <c:w val="0.58655510319976256"/>
          <c:h val="0.51623376623376627"/>
        </c:manualLayout>
      </c:layout>
      <c:lineChart>
        <c:grouping val="standard"/>
        <c:varyColors val="0"/>
        <c:ser>
          <c:idx val="0"/>
          <c:order val="0"/>
          <c:tx>
            <c:strRef>
              <c:f>Graphical!$J$8</c:f>
              <c:strCache>
                <c:ptCount val="1"/>
                <c:pt idx="0">
                  <c:v>Appraiser 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Graphical!$C$18:$L$18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Graphical!$C$23:$L$23</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Graphical!$J$10</c:f>
              <c:strCache>
                <c:ptCount val="1"/>
                <c:pt idx="0">
                  <c:v>Appraiser B</c:v>
                </c:pt>
              </c:strCache>
            </c:strRef>
          </c:tx>
          <c:spPr>
            <a:ln w="12700">
              <a:solidFill>
                <a:srgbClr val="FF00FF"/>
              </a:solidFill>
              <a:prstDash val="sysDash"/>
            </a:ln>
          </c:spPr>
          <c:marker>
            <c:symbol val="square"/>
            <c:size val="5"/>
            <c:spPr>
              <a:solidFill>
                <a:srgbClr val="FF00FF"/>
              </a:solidFill>
              <a:ln>
                <a:solidFill>
                  <a:srgbClr val="FF00FF"/>
                </a:solidFill>
                <a:prstDash val="solid"/>
              </a:ln>
            </c:spPr>
          </c:marker>
          <c:cat>
            <c:numRef>
              <c:f>Graphical!$C$18:$L$18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Graphical!$C$28:$L$28</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Graphical!$J$12</c:f>
              <c:strCache>
                <c:ptCount val="1"/>
                <c:pt idx="0">
                  <c:v>Appraiser C</c:v>
                </c:pt>
              </c:strCache>
            </c:strRef>
          </c:tx>
          <c:spPr>
            <a:ln w="12700">
              <a:solidFill>
                <a:srgbClr val="424242"/>
              </a:solidFill>
              <a:prstDash val="solid"/>
            </a:ln>
          </c:spPr>
          <c:marker>
            <c:symbol val="triangle"/>
            <c:size val="5"/>
            <c:spPr>
              <a:solidFill>
                <a:srgbClr val="424242"/>
              </a:solidFill>
              <a:ln>
                <a:solidFill>
                  <a:srgbClr val="424242"/>
                </a:solidFill>
                <a:prstDash val="solid"/>
              </a:ln>
            </c:spPr>
          </c:marker>
          <c:cat>
            <c:numRef>
              <c:f>Graphical!$C$18:$L$18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Graphical!$C$33:$L$33</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strRef>
              <c:f>Graphical!$P$47</c:f>
              <c:strCache>
                <c:ptCount val="1"/>
                <c:pt idx="0">
                  <c:v>Rucl</c:v>
                </c:pt>
              </c:strCache>
            </c:strRef>
          </c:tx>
          <c:spPr>
            <a:ln w="25400">
              <a:solidFill>
                <a:srgbClr val="339933"/>
              </a:solidFill>
              <a:prstDash val="solid"/>
            </a:ln>
          </c:spPr>
          <c:marker>
            <c:symbol val="none"/>
          </c:marker>
          <c:val>
            <c:numRef>
              <c:f>Graphical!$Q$47:$Z$47</c:f>
              <c:numCache>
                <c:formatCode>0.000</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1927068720"/>
        <c:axId val="1927066544"/>
      </c:lineChart>
      <c:catAx>
        <c:axId val="1927068720"/>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en-US"/>
                  <a:t>Part Number</a:t>
                </a:r>
              </a:p>
            </c:rich>
          </c:tx>
          <c:layout>
            <c:manualLayout>
              <c:xMode val="edge"/>
              <c:yMode val="edge"/>
              <c:x val="0.35126085709874499"/>
              <c:y val="0.85714285714285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927066544"/>
        <c:crosses val="autoZero"/>
        <c:auto val="1"/>
        <c:lblAlgn val="ctr"/>
        <c:lblOffset val="100"/>
        <c:tickLblSkip val="1"/>
        <c:tickMarkSkip val="1"/>
        <c:noMultiLvlLbl val="0"/>
      </c:catAx>
      <c:valAx>
        <c:axId val="1927066544"/>
        <c:scaling>
          <c:orientation val="minMax"/>
        </c:scaling>
        <c:delete val="0"/>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n-US"/>
                  <a:t>Range</a:t>
                </a:r>
              </a:p>
            </c:rich>
          </c:tx>
          <c:layout>
            <c:manualLayout>
              <c:xMode val="edge"/>
              <c:yMode val="edge"/>
              <c:x val="2.689075630252101E-2"/>
              <c:y val="0.4090909090909091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927068720"/>
        <c:crosses val="autoZero"/>
        <c:crossBetween val="between"/>
      </c:valAx>
      <c:spPr>
        <a:noFill/>
        <a:ln w="12700">
          <a:solidFill>
            <a:srgbClr val="808080"/>
          </a:solidFill>
          <a:prstDash val="solid"/>
        </a:ln>
      </c:spPr>
    </c:plotArea>
    <c:legend>
      <c:legendPos val="r"/>
      <c:layout>
        <c:manualLayout>
          <c:xMode val="edge"/>
          <c:yMode val="edge"/>
          <c:x val="0.75"/>
          <c:y val="0.32142857142857145"/>
          <c:w val="0.23657718120805368"/>
          <c:h val="0.31493506493506496"/>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Average Chart -"Unstacked"</a:t>
            </a:r>
          </a:p>
        </c:rich>
      </c:tx>
      <c:layout>
        <c:manualLayout>
          <c:xMode val="edge"/>
          <c:yMode val="edge"/>
          <c:x val="0.31428589073424645"/>
          <c:y val="3.5143769968051117E-2"/>
        </c:manualLayout>
      </c:layout>
      <c:overlay val="0"/>
      <c:spPr>
        <a:noFill/>
        <a:ln w="25400">
          <a:noFill/>
        </a:ln>
      </c:spPr>
    </c:title>
    <c:autoTitleDeleted val="0"/>
    <c:plotArea>
      <c:layout>
        <c:manualLayout>
          <c:layoutTarget val="inner"/>
          <c:xMode val="edge"/>
          <c:yMode val="edge"/>
          <c:x val="0.15462197562859067"/>
          <c:y val="0.22044762824422839"/>
          <c:w val="0.82184941393892508"/>
          <c:h val="0.53993694454021146"/>
        </c:manualLayout>
      </c:layout>
      <c:lineChart>
        <c:grouping val="standard"/>
        <c:varyColors val="0"/>
        <c:ser>
          <c:idx val="0"/>
          <c:order val="0"/>
          <c:tx>
            <c:strRef>
              <c:f>Graphical!$J$8</c:f>
              <c:strCache>
                <c:ptCount val="1"/>
                <c:pt idx="0">
                  <c:v>Appraiser 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Graphical!$Q$86:$AT$86</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Graphical!$Q$87:$AT$87</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1"/>
          <c:tx>
            <c:v>UCL A</c:v>
          </c:tx>
          <c:spPr>
            <a:ln w="25400">
              <a:solidFill>
                <a:srgbClr val="339933"/>
              </a:solidFill>
              <a:prstDash val="solid"/>
            </a:ln>
          </c:spPr>
          <c:marker>
            <c:symbol val="none"/>
          </c:marker>
          <c:cat>
            <c:numRef>
              <c:f>Graphical!$Q$86:$AT$86</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Graphical!$Q$45:$Z$45</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4"/>
          <c:order val="2"/>
          <c:tx>
            <c:v>LCL A</c:v>
          </c:tx>
          <c:spPr>
            <a:ln w="25400">
              <a:solidFill>
                <a:srgbClr val="339933"/>
              </a:solidFill>
              <a:prstDash val="lgDash"/>
            </a:ln>
          </c:spPr>
          <c:marker>
            <c:symbol val="none"/>
          </c:marker>
          <c:cat>
            <c:numRef>
              <c:f>Graphical!$Q$86:$AT$86</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Graphical!$Q$46:$Z$46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1"/>
          <c:order val="3"/>
          <c:tx>
            <c:v>UCL B</c:v>
          </c:tx>
          <c:spPr>
            <a:ln w="25400">
              <a:solidFill>
                <a:srgbClr val="339933"/>
              </a:solidFill>
              <a:prstDash val="solid"/>
            </a:ln>
          </c:spPr>
          <c:marker>
            <c:symbol val="none"/>
          </c:marker>
          <c:val>
            <c:numRef>
              <c:f>Graphical!$Q$89:$AT$89</c:f>
              <c:numCache>
                <c:formatCode>General</c:formatCode>
                <c:ptCount val="30"/>
                <c:pt idx="10">
                  <c:v>0</c:v>
                </c:pt>
                <c:pt idx="11">
                  <c:v>0</c:v>
                </c:pt>
                <c:pt idx="12">
                  <c:v>0</c:v>
                </c:pt>
                <c:pt idx="13">
                  <c:v>0</c:v>
                </c:pt>
                <c:pt idx="14">
                  <c:v>0</c:v>
                </c:pt>
                <c:pt idx="15">
                  <c:v>0</c:v>
                </c:pt>
                <c:pt idx="16">
                  <c:v>0</c:v>
                </c:pt>
                <c:pt idx="17">
                  <c:v>0</c:v>
                </c:pt>
                <c:pt idx="18">
                  <c:v>0</c:v>
                </c:pt>
                <c:pt idx="19">
                  <c:v>0</c:v>
                </c:pt>
              </c:numCache>
            </c:numRef>
          </c:val>
          <c:smooth val="0"/>
        </c:ser>
        <c:ser>
          <c:idx val="2"/>
          <c:order val="4"/>
          <c:tx>
            <c:v>LCL B</c:v>
          </c:tx>
          <c:spPr>
            <a:ln w="25400">
              <a:solidFill>
                <a:srgbClr val="339933"/>
              </a:solidFill>
              <a:prstDash val="lgDash"/>
            </a:ln>
          </c:spPr>
          <c:marker>
            <c:symbol val="none"/>
          </c:marker>
          <c:val>
            <c:numRef>
              <c:f>Graphical!$Q$90:$AT$90</c:f>
              <c:numCache>
                <c:formatCode>General</c:formatCode>
                <c:ptCount val="30"/>
                <c:pt idx="10">
                  <c:v>0</c:v>
                </c:pt>
                <c:pt idx="11">
                  <c:v>0</c:v>
                </c:pt>
                <c:pt idx="12">
                  <c:v>0</c:v>
                </c:pt>
                <c:pt idx="13">
                  <c:v>0</c:v>
                </c:pt>
                <c:pt idx="14">
                  <c:v>0</c:v>
                </c:pt>
                <c:pt idx="15">
                  <c:v>0</c:v>
                </c:pt>
                <c:pt idx="16">
                  <c:v>0</c:v>
                </c:pt>
                <c:pt idx="17">
                  <c:v>0</c:v>
                </c:pt>
                <c:pt idx="18">
                  <c:v>0</c:v>
                </c:pt>
                <c:pt idx="19">
                  <c:v>0</c:v>
                </c:pt>
              </c:numCache>
            </c:numRef>
          </c:val>
          <c:smooth val="0"/>
        </c:ser>
        <c:ser>
          <c:idx val="5"/>
          <c:order val="5"/>
          <c:tx>
            <c:v>UCL C</c:v>
          </c:tx>
          <c:spPr>
            <a:ln w="25400">
              <a:solidFill>
                <a:srgbClr val="339933"/>
              </a:solidFill>
              <a:prstDash val="solid"/>
            </a:ln>
          </c:spPr>
          <c:marker>
            <c:symbol val="none"/>
          </c:marker>
          <c:val>
            <c:numRef>
              <c:f>Graphical!$Q$91:$AT$91</c:f>
              <c:numCache>
                <c:formatCode>General</c:formatCode>
                <c:ptCount val="30"/>
                <c:pt idx="20">
                  <c:v>0</c:v>
                </c:pt>
                <c:pt idx="21">
                  <c:v>0</c:v>
                </c:pt>
                <c:pt idx="22">
                  <c:v>0</c:v>
                </c:pt>
                <c:pt idx="23">
                  <c:v>0</c:v>
                </c:pt>
                <c:pt idx="24">
                  <c:v>0</c:v>
                </c:pt>
                <c:pt idx="25">
                  <c:v>0</c:v>
                </c:pt>
                <c:pt idx="26">
                  <c:v>0</c:v>
                </c:pt>
                <c:pt idx="27">
                  <c:v>0</c:v>
                </c:pt>
                <c:pt idx="28">
                  <c:v>0</c:v>
                </c:pt>
                <c:pt idx="29">
                  <c:v>0</c:v>
                </c:pt>
              </c:numCache>
            </c:numRef>
          </c:val>
          <c:smooth val="0"/>
        </c:ser>
        <c:ser>
          <c:idx val="6"/>
          <c:order val="6"/>
          <c:tx>
            <c:v>LCL C</c:v>
          </c:tx>
          <c:spPr>
            <a:ln w="25400">
              <a:solidFill>
                <a:srgbClr val="339933"/>
              </a:solidFill>
              <a:prstDash val="lgDash"/>
            </a:ln>
          </c:spPr>
          <c:marker>
            <c:symbol val="none"/>
          </c:marker>
          <c:val>
            <c:numRef>
              <c:f>Graphical!$Q$92:$AT$92</c:f>
              <c:numCache>
                <c:formatCode>General</c:formatCode>
                <c:ptCount val="30"/>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marker val="1"/>
        <c:smooth val="0"/>
        <c:axId val="1927063280"/>
        <c:axId val="1927063824"/>
      </c:lineChart>
      <c:catAx>
        <c:axId val="192706328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Appr A                             Appr B                                  Appr C</a:t>
                </a:r>
              </a:p>
            </c:rich>
          </c:tx>
          <c:layout>
            <c:manualLayout>
              <c:xMode val="edge"/>
              <c:yMode val="edge"/>
              <c:x val="0.21344555459979267"/>
              <c:y val="0.859426261813119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27063824"/>
        <c:crosses val="autoZero"/>
        <c:auto val="1"/>
        <c:lblAlgn val="ctr"/>
        <c:lblOffset val="100"/>
        <c:tickLblSkip val="1"/>
        <c:tickMarkSkip val="1"/>
        <c:noMultiLvlLbl val="0"/>
      </c:catAx>
      <c:valAx>
        <c:axId val="192706382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a:t>
                </a:r>
              </a:p>
            </c:rich>
          </c:tx>
          <c:layout>
            <c:manualLayout>
              <c:xMode val="edge"/>
              <c:yMode val="edge"/>
              <c:x val="2.689075630252101E-2"/>
              <c:y val="0.3801923641333970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2706328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horizontalDpi="-4" verticalDpi="12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Range Chart -"Unstacked"</a:t>
            </a:r>
          </a:p>
        </c:rich>
      </c:tx>
      <c:layout>
        <c:manualLayout>
          <c:xMode val="edge"/>
          <c:yMode val="edge"/>
          <c:x val="0.32550335570469796"/>
          <c:y val="3.5031847133757961E-2"/>
        </c:manualLayout>
      </c:layout>
      <c:overlay val="0"/>
      <c:spPr>
        <a:noFill/>
        <a:ln w="25400">
          <a:noFill/>
        </a:ln>
      </c:spPr>
    </c:title>
    <c:autoTitleDeleted val="0"/>
    <c:plotArea>
      <c:layout>
        <c:manualLayout>
          <c:layoutTarget val="inner"/>
          <c:xMode val="edge"/>
          <c:yMode val="edge"/>
          <c:x val="0.15436241610738313"/>
          <c:y val="0.21974522292993667"/>
          <c:w val="0.82214765100671161"/>
          <c:h val="0.54140127388535031"/>
        </c:manualLayout>
      </c:layout>
      <c:lineChart>
        <c:grouping val="standard"/>
        <c:varyColors val="0"/>
        <c:ser>
          <c:idx val="0"/>
          <c:order val="0"/>
          <c:tx>
            <c:strRef>
              <c:f>Graphical!$J$8</c:f>
              <c:strCache>
                <c:ptCount val="1"/>
                <c:pt idx="0">
                  <c:v>Appraiser 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Graphical!$Q$86:$AT$86</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Graphical!$Q$88:$AT$88</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1"/>
          <c:tx>
            <c:v>UCL A</c:v>
          </c:tx>
          <c:spPr>
            <a:ln w="25400">
              <a:solidFill>
                <a:srgbClr val="339933"/>
              </a:solidFill>
              <a:prstDash val="solid"/>
            </a:ln>
          </c:spPr>
          <c:marker>
            <c:symbol val="none"/>
          </c:marker>
          <c:cat>
            <c:numRef>
              <c:f>Graphical!$Q$86:$AT$86</c:f>
              <c:numCache>
                <c:formatCode>General</c:formatCode>
                <c:ptCount val="3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numCache>
            </c:numRef>
          </c:cat>
          <c:val>
            <c:numRef>
              <c:f>Graphical!$Q$47:$Z$47</c:f>
              <c:numCache>
                <c:formatCode>0.000</c:formatCode>
                <c:ptCount val="10"/>
                <c:pt idx="0">
                  <c:v>0</c:v>
                </c:pt>
                <c:pt idx="1">
                  <c:v>0</c:v>
                </c:pt>
                <c:pt idx="2">
                  <c:v>0</c:v>
                </c:pt>
                <c:pt idx="3">
                  <c:v>0</c:v>
                </c:pt>
                <c:pt idx="4">
                  <c:v>0</c:v>
                </c:pt>
                <c:pt idx="5">
                  <c:v>0</c:v>
                </c:pt>
                <c:pt idx="6">
                  <c:v>0</c:v>
                </c:pt>
                <c:pt idx="7">
                  <c:v>0</c:v>
                </c:pt>
                <c:pt idx="8">
                  <c:v>0</c:v>
                </c:pt>
                <c:pt idx="9">
                  <c:v>0</c:v>
                </c:pt>
              </c:numCache>
            </c:numRef>
          </c:val>
          <c:smooth val="0"/>
        </c:ser>
        <c:ser>
          <c:idx val="1"/>
          <c:order val="2"/>
          <c:tx>
            <c:v>UCL B</c:v>
          </c:tx>
          <c:spPr>
            <a:ln w="25400">
              <a:solidFill>
                <a:srgbClr val="339933"/>
              </a:solidFill>
              <a:prstDash val="solid"/>
            </a:ln>
          </c:spPr>
          <c:marker>
            <c:symbol val="none"/>
          </c:marker>
          <c:val>
            <c:numRef>
              <c:f>Graphical!$Q$93:$AT$93</c:f>
              <c:numCache>
                <c:formatCode>General</c:formatCode>
                <c:ptCount val="30"/>
                <c:pt idx="10" formatCode="0.000">
                  <c:v>0</c:v>
                </c:pt>
                <c:pt idx="11" formatCode="0.000">
                  <c:v>0</c:v>
                </c:pt>
                <c:pt idx="12" formatCode="0.000">
                  <c:v>0</c:v>
                </c:pt>
                <c:pt idx="13" formatCode="0.000">
                  <c:v>0</c:v>
                </c:pt>
                <c:pt idx="14" formatCode="0.000">
                  <c:v>0</c:v>
                </c:pt>
                <c:pt idx="15" formatCode="0.000">
                  <c:v>0</c:v>
                </c:pt>
                <c:pt idx="16" formatCode="0.000">
                  <c:v>0</c:v>
                </c:pt>
                <c:pt idx="17" formatCode="0.000">
                  <c:v>0</c:v>
                </c:pt>
                <c:pt idx="18" formatCode="0.000">
                  <c:v>0</c:v>
                </c:pt>
                <c:pt idx="19" formatCode="0.000">
                  <c:v>0</c:v>
                </c:pt>
              </c:numCache>
            </c:numRef>
          </c:val>
          <c:smooth val="0"/>
        </c:ser>
        <c:ser>
          <c:idx val="5"/>
          <c:order val="3"/>
          <c:tx>
            <c:v>UCL C</c:v>
          </c:tx>
          <c:spPr>
            <a:ln w="25400">
              <a:solidFill>
                <a:srgbClr val="339933"/>
              </a:solidFill>
              <a:prstDash val="solid"/>
            </a:ln>
          </c:spPr>
          <c:marker>
            <c:symbol val="none"/>
          </c:marker>
          <c:val>
            <c:numRef>
              <c:f>Graphical!$Q$94:$AT$94</c:f>
              <c:numCache>
                <c:formatCode>General</c:formatCode>
                <c:ptCount val="30"/>
                <c:pt idx="20" formatCode="0.000">
                  <c:v>0</c:v>
                </c:pt>
                <c:pt idx="21" formatCode="0.000">
                  <c:v>0</c:v>
                </c:pt>
                <c:pt idx="22" formatCode="0.000">
                  <c:v>0</c:v>
                </c:pt>
                <c:pt idx="23" formatCode="0.000">
                  <c:v>0</c:v>
                </c:pt>
                <c:pt idx="24" formatCode="0.000">
                  <c:v>0</c:v>
                </c:pt>
                <c:pt idx="25" formatCode="0.000">
                  <c:v>0</c:v>
                </c:pt>
                <c:pt idx="26" formatCode="0.000">
                  <c:v>0</c:v>
                </c:pt>
                <c:pt idx="27" formatCode="0.000">
                  <c:v>0</c:v>
                </c:pt>
                <c:pt idx="28" formatCode="0.000">
                  <c:v>0</c:v>
                </c:pt>
                <c:pt idx="29" formatCode="0.000">
                  <c:v>0</c:v>
                </c:pt>
              </c:numCache>
            </c:numRef>
          </c:val>
          <c:smooth val="0"/>
        </c:ser>
        <c:dLbls>
          <c:showLegendKey val="0"/>
          <c:showVal val="0"/>
          <c:showCatName val="0"/>
          <c:showSerName val="0"/>
          <c:showPercent val="0"/>
          <c:showBubbleSize val="0"/>
        </c:dLbls>
        <c:marker val="1"/>
        <c:smooth val="0"/>
        <c:axId val="1927064912"/>
        <c:axId val="1927065456"/>
      </c:lineChart>
      <c:catAx>
        <c:axId val="192706491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Appr A                             Appr B                                  Appr C</a:t>
                </a:r>
              </a:p>
            </c:rich>
          </c:tx>
          <c:layout>
            <c:manualLayout>
              <c:xMode val="edge"/>
              <c:yMode val="edge"/>
              <c:x val="0.21476510067114093"/>
              <c:y val="0.859872611464968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27065456"/>
        <c:crosses val="autoZero"/>
        <c:auto val="1"/>
        <c:lblAlgn val="ctr"/>
        <c:lblOffset val="100"/>
        <c:tickLblSkip val="1"/>
        <c:tickMarkSkip val="1"/>
        <c:noMultiLvlLbl val="0"/>
      </c:catAx>
      <c:valAx>
        <c:axId val="192706545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a:t>
                </a:r>
              </a:p>
            </c:rich>
          </c:tx>
          <c:layout>
            <c:manualLayout>
              <c:xMode val="edge"/>
              <c:yMode val="edge"/>
              <c:x val="2.6845637583892617E-2"/>
              <c:y val="0.3821656050955414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270649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Run Chart</a:t>
            </a:r>
          </a:p>
        </c:rich>
      </c:tx>
      <c:layout>
        <c:manualLayout>
          <c:xMode val="edge"/>
          <c:yMode val="edge"/>
          <c:x val="0.43025245373740045"/>
          <c:y val="3.0567685589519649E-2"/>
        </c:manualLayout>
      </c:layout>
      <c:overlay val="0"/>
      <c:spPr>
        <a:noFill/>
        <a:ln w="25400">
          <a:noFill/>
        </a:ln>
      </c:spPr>
    </c:title>
    <c:autoTitleDeleted val="0"/>
    <c:plotArea>
      <c:layout>
        <c:manualLayout>
          <c:layoutTarget val="inner"/>
          <c:xMode val="edge"/>
          <c:yMode val="edge"/>
          <c:x val="0.15462197562859067"/>
          <c:y val="0.16375545851528414"/>
          <c:w val="0.82184941393892508"/>
          <c:h val="0.66157205240174799"/>
        </c:manualLayout>
      </c:layout>
      <c:lineChart>
        <c:grouping val="standard"/>
        <c:varyColors val="0"/>
        <c:ser>
          <c:idx val="0"/>
          <c:order val="0"/>
          <c:spPr>
            <a:ln w="28575">
              <a:noFill/>
            </a:ln>
          </c:spPr>
          <c:marker>
            <c:symbol val="circle"/>
            <c:size val="5"/>
            <c:spPr>
              <a:solidFill>
                <a:srgbClr val="000000"/>
              </a:solidFill>
              <a:ln>
                <a:solidFill>
                  <a:srgbClr val="000000"/>
                </a:solidFill>
                <a:prstDash val="solid"/>
              </a:ln>
            </c:spPr>
          </c:marker>
          <c:cat>
            <c:numRef>
              <c:f>Graphical!$C$18:$L$18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Graphical!$C$19:$L$19</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1"/>
          <c:order val="1"/>
          <c:spPr>
            <a:ln w="28575">
              <a:noFill/>
            </a:ln>
          </c:spPr>
          <c:marker>
            <c:symbol val="circle"/>
            <c:size val="5"/>
            <c:spPr>
              <a:solidFill>
                <a:srgbClr val="000000"/>
              </a:solidFill>
              <a:ln>
                <a:solidFill>
                  <a:srgbClr val="000000"/>
                </a:solidFill>
                <a:prstDash val="solid"/>
              </a:ln>
            </c:spPr>
          </c:marker>
          <c:cat>
            <c:numRef>
              <c:f>Graphical!$C$18:$L$18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Graphical!$C$20:$L$20</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2"/>
          <c:order val="2"/>
          <c:spPr>
            <a:ln w="28575">
              <a:noFill/>
            </a:ln>
          </c:spPr>
          <c:marker>
            <c:symbol val="circle"/>
            <c:size val="5"/>
            <c:spPr>
              <a:solidFill>
                <a:srgbClr val="000000"/>
              </a:solidFill>
              <a:ln>
                <a:solidFill>
                  <a:srgbClr val="000000"/>
                </a:solidFill>
                <a:prstDash val="solid"/>
              </a:ln>
            </c:spPr>
          </c:marker>
          <c:cat>
            <c:numRef>
              <c:f>Graphical!$C$18:$L$18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Graphical!$C$21:$L$21</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3"/>
          <c:order val="3"/>
          <c:spPr>
            <a:ln w="28575">
              <a:noFill/>
            </a:ln>
          </c:spPr>
          <c:marker>
            <c:symbol val="circle"/>
            <c:size val="5"/>
            <c:spPr>
              <a:solidFill>
                <a:srgbClr val="000000"/>
              </a:solidFill>
              <a:ln>
                <a:solidFill>
                  <a:srgbClr val="000000"/>
                </a:solidFill>
                <a:prstDash val="solid"/>
              </a:ln>
            </c:spPr>
          </c:marker>
          <c:cat>
            <c:numRef>
              <c:f>Graphical!$C$18:$L$18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Graphical!$C$24:$L$24</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4"/>
          <c:order val="4"/>
          <c:spPr>
            <a:ln w="28575">
              <a:noFill/>
            </a:ln>
          </c:spPr>
          <c:marker>
            <c:symbol val="circle"/>
            <c:size val="5"/>
            <c:spPr>
              <a:solidFill>
                <a:srgbClr val="000000"/>
              </a:solidFill>
              <a:ln>
                <a:solidFill>
                  <a:srgbClr val="000000"/>
                </a:solidFill>
                <a:prstDash val="solid"/>
              </a:ln>
            </c:spPr>
          </c:marker>
          <c:cat>
            <c:numRef>
              <c:f>Graphical!$C$18:$L$18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Graphical!$C$25:$L$25</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5"/>
          <c:order val="5"/>
          <c:spPr>
            <a:ln w="28575">
              <a:noFill/>
            </a:ln>
          </c:spPr>
          <c:marker>
            <c:symbol val="circle"/>
            <c:size val="5"/>
            <c:spPr>
              <a:solidFill>
                <a:srgbClr val="000000"/>
              </a:solidFill>
              <a:ln>
                <a:solidFill>
                  <a:srgbClr val="000000"/>
                </a:solidFill>
                <a:prstDash val="solid"/>
              </a:ln>
            </c:spPr>
          </c:marker>
          <c:cat>
            <c:numRef>
              <c:f>Graphical!$C$18:$L$18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Graphical!$C$26:$L$26</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6"/>
          <c:order val="6"/>
          <c:spPr>
            <a:ln w="28575">
              <a:noFill/>
            </a:ln>
          </c:spPr>
          <c:marker>
            <c:symbol val="circle"/>
            <c:size val="5"/>
            <c:spPr>
              <a:solidFill>
                <a:srgbClr val="000000"/>
              </a:solidFill>
              <a:ln>
                <a:solidFill>
                  <a:srgbClr val="000000"/>
                </a:solidFill>
                <a:prstDash val="solid"/>
              </a:ln>
            </c:spPr>
          </c:marker>
          <c:cat>
            <c:numRef>
              <c:f>Graphical!$C$18:$L$18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Graphical!$C$29:$L$29</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7"/>
          <c:order val="7"/>
          <c:spPr>
            <a:ln w="28575">
              <a:noFill/>
            </a:ln>
          </c:spPr>
          <c:marker>
            <c:symbol val="circle"/>
            <c:size val="5"/>
            <c:spPr>
              <a:solidFill>
                <a:srgbClr val="000000"/>
              </a:solidFill>
              <a:ln>
                <a:solidFill>
                  <a:srgbClr val="000000"/>
                </a:solidFill>
                <a:prstDash val="solid"/>
              </a:ln>
            </c:spPr>
          </c:marker>
          <c:cat>
            <c:numRef>
              <c:f>Graphical!$C$18:$L$18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Graphical!$C$30:$L$30</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8"/>
          <c:order val="8"/>
          <c:spPr>
            <a:ln w="28575">
              <a:noFill/>
            </a:ln>
          </c:spPr>
          <c:marker>
            <c:symbol val="circle"/>
            <c:size val="5"/>
            <c:spPr>
              <a:solidFill>
                <a:srgbClr val="000000"/>
              </a:solidFill>
              <a:ln>
                <a:solidFill>
                  <a:srgbClr val="000000"/>
                </a:solidFill>
                <a:prstDash val="solid"/>
              </a:ln>
            </c:spPr>
          </c:marker>
          <c:cat>
            <c:numRef>
              <c:f>Graphical!$C$18:$L$18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Graphical!$C$31:$L$31</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9"/>
          <c:order val="9"/>
          <c:spPr>
            <a:ln w="25400">
              <a:solidFill>
                <a:srgbClr val="339933"/>
              </a:solidFill>
              <a:prstDash val="solid"/>
            </a:ln>
          </c:spPr>
          <c:marker>
            <c:symbol val="circle"/>
            <c:size val="8"/>
            <c:spPr>
              <a:solidFill>
                <a:srgbClr val="339933"/>
              </a:solidFill>
              <a:ln>
                <a:solidFill>
                  <a:srgbClr val="339933"/>
                </a:solidFill>
                <a:prstDash val="solid"/>
              </a:ln>
            </c:spPr>
          </c:marker>
          <c:cat>
            <c:numRef>
              <c:f>Graphical!$C$18:$L$18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Graphical!$C$35:$L$35</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1927066000"/>
        <c:axId val="1927071984"/>
      </c:lineChart>
      <c:catAx>
        <c:axId val="192706600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Part</a:t>
                </a:r>
              </a:p>
            </c:rich>
          </c:tx>
          <c:layout>
            <c:manualLayout>
              <c:xMode val="edge"/>
              <c:yMode val="edge"/>
              <c:x val="0.53445413440966938"/>
              <c:y val="0.903930131004366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27071984"/>
        <c:crosses val="autoZero"/>
        <c:auto val="1"/>
        <c:lblAlgn val="ctr"/>
        <c:lblOffset val="100"/>
        <c:tickLblSkip val="1"/>
        <c:tickMarkSkip val="1"/>
        <c:noMultiLvlLbl val="0"/>
      </c:catAx>
      <c:valAx>
        <c:axId val="192707198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Value</a:t>
                </a:r>
              </a:p>
            </c:rich>
          </c:tx>
          <c:layout>
            <c:manualLayout>
              <c:xMode val="edge"/>
              <c:yMode val="edge"/>
              <c:x val="2.689075630252101E-2"/>
              <c:y val="0.4410480349344977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2706600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g"/></Relationships>
</file>

<file path=xl/drawings/_rels/drawing25.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3" Type="http://schemas.openxmlformats.org/officeDocument/2006/relationships/chart" Target="../charts/chart7.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image" Target="../media/image2.jpg"/><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5" Type="http://schemas.openxmlformats.org/officeDocument/2006/relationships/chart" Target="../charts/chart19.xml"/><Relationship Id="rId10" Type="http://schemas.openxmlformats.org/officeDocument/2006/relationships/chart" Target="../charts/chart14.xml"/><Relationship Id="rId19" Type="http://schemas.openxmlformats.org/officeDocument/2006/relationships/chart" Target="../charts/chart23.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chart" Target="../charts/chart25.xml"/><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chart" Target="../charts/chart27.xml"/><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5" Type="http://schemas.openxmlformats.org/officeDocument/2006/relationships/image" Target="../media/image2.jpg"/><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4"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5</xdr:col>
      <xdr:colOff>0</xdr:colOff>
      <xdr:row>22</xdr:row>
      <xdr:rowOff>104775</xdr:rowOff>
    </xdr:from>
    <xdr:to>
      <xdr:col>9</xdr:col>
      <xdr:colOff>590550</xdr:colOff>
      <xdr:row>25</xdr:row>
      <xdr:rowOff>9525</xdr:rowOff>
    </xdr:to>
    <xdr:sp macro="" textlink="">
      <xdr:nvSpPr>
        <xdr:cNvPr id="48223" name="Rectangle 95"/>
        <xdr:cNvSpPr>
          <a:spLocks noChangeArrowheads="1"/>
        </xdr:cNvSpPr>
      </xdr:nvSpPr>
      <xdr:spPr bwMode="auto">
        <a:xfrm>
          <a:off x="2057400" y="4476750"/>
          <a:ext cx="302895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523875</xdr:colOff>
      <xdr:row>16</xdr:row>
      <xdr:rowOff>9525</xdr:rowOff>
    </xdr:from>
    <xdr:to>
      <xdr:col>10</xdr:col>
      <xdr:colOff>304800</xdr:colOff>
      <xdr:row>26</xdr:row>
      <xdr:rowOff>38100</xdr:rowOff>
    </xdr:to>
    <xdr:pic>
      <xdr:nvPicPr>
        <xdr:cNvPr id="48251" name="Picture 1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3028950"/>
          <a:ext cx="3676650" cy="2219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476250</xdr:colOff>
      <xdr:row>5</xdr:row>
      <xdr:rowOff>104774</xdr:rowOff>
    </xdr:from>
    <xdr:to>
      <xdr:col>10</xdr:col>
      <xdr:colOff>1158067</xdr:colOff>
      <xdr:row>12</xdr:row>
      <xdr:rowOff>68579</xdr:rowOff>
    </xdr:to>
    <xdr:pic>
      <xdr:nvPicPr>
        <xdr:cNvPr id="5" name="Picture 4" descr="AAR_DIR_MobilitySystems"/>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4450" y="1343024"/>
          <a:ext cx="5187142" cy="109728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10</xdr:row>
          <xdr:rowOff>133350</xdr:rowOff>
        </xdr:from>
        <xdr:to>
          <xdr:col>4</xdr:col>
          <xdr:colOff>104775</xdr:colOff>
          <xdr:row>12</xdr:row>
          <xdr:rowOff>19050</xdr:rowOff>
        </xdr:to>
        <xdr:sp macro="" textlink="">
          <xdr:nvSpPr>
            <xdr:cNvPr id="66563" name="Check Box 3" hidden="1">
              <a:extLst>
                <a:ext uri="{63B3BB69-23CF-44E3-9099-C40C66FF867C}">
                  <a14:compatExt spid="_x0000_s665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133350</xdr:rowOff>
        </xdr:from>
        <xdr:to>
          <xdr:col>4</xdr:col>
          <xdr:colOff>104775</xdr:colOff>
          <xdr:row>13</xdr:row>
          <xdr:rowOff>19050</xdr:rowOff>
        </xdr:to>
        <xdr:sp macro="" textlink="">
          <xdr:nvSpPr>
            <xdr:cNvPr id="66564" name="Check Box 4" hidden="1">
              <a:extLst>
                <a:ext uri="{63B3BB69-23CF-44E3-9099-C40C66FF867C}">
                  <a14:compatExt spid="_x0000_s665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11</xdr:row>
          <xdr:rowOff>133350</xdr:rowOff>
        </xdr:from>
        <xdr:to>
          <xdr:col>9</xdr:col>
          <xdr:colOff>76200</xdr:colOff>
          <xdr:row>13</xdr:row>
          <xdr:rowOff>19050</xdr:rowOff>
        </xdr:to>
        <xdr:sp macro="" textlink="">
          <xdr:nvSpPr>
            <xdr:cNvPr id="66565" name="Check Box 5" hidden="1">
              <a:extLst>
                <a:ext uri="{63B3BB69-23CF-44E3-9099-C40C66FF867C}">
                  <a14:compatExt spid="_x0000_s665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10</xdr:row>
          <xdr:rowOff>142875</xdr:rowOff>
        </xdr:from>
        <xdr:to>
          <xdr:col>9</xdr:col>
          <xdr:colOff>76200</xdr:colOff>
          <xdr:row>12</xdr:row>
          <xdr:rowOff>28575</xdr:rowOff>
        </xdr:to>
        <xdr:sp macro="" textlink="">
          <xdr:nvSpPr>
            <xdr:cNvPr id="66566" name="Check Box 6" hidden="1">
              <a:extLst>
                <a:ext uri="{63B3BB69-23CF-44E3-9099-C40C66FF867C}">
                  <a14:compatExt spid="_x0000_s665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xdr:row>
          <xdr:rowOff>133350</xdr:rowOff>
        </xdr:from>
        <xdr:to>
          <xdr:col>15</xdr:col>
          <xdr:colOff>85725</xdr:colOff>
          <xdr:row>12</xdr:row>
          <xdr:rowOff>19050</xdr:rowOff>
        </xdr:to>
        <xdr:sp macro="" textlink="">
          <xdr:nvSpPr>
            <xdr:cNvPr id="66567" name="Check Box 7" hidden="1">
              <a:extLst>
                <a:ext uri="{63B3BB69-23CF-44E3-9099-C40C66FF867C}">
                  <a14:compatExt spid="_x0000_s665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11</xdr:row>
          <xdr:rowOff>133350</xdr:rowOff>
        </xdr:from>
        <xdr:to>
          <xdr:col>15</xdr:col>
          <xdr:colOff>85725</xdr:colOff>
          <xdr:row>13</xdr:row>
          <xdr:rowOff>19050</xdr:rowOff>
        </xdr:to>
        <xdr:sp macro="" textlink="">
          <xdr:nvSpPr>
            <xdr:cNvPr id="66568" name="Check Box 8" hidden="1">
              <a:extLst>
                <a:ext uri="{63B3BB69-23CF-44E3-9099-C40C66FF867C}">
                  <a14:compatExt spid="_x0000_s665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38100</xdr:colOff>
      <xdr:row>0</xdr:row>
      <xdr:rowOff>95250</xdr:rowOff>
    </xdr:from>
    <xdr:to>
      <xdr:col>7</xdr:col>
      <xdr:colOff>47625</xdr:colOff>
      <xdr:row>3</xdr:row>
      <xdr:rowOff>66675</xdr:rowOff>
    </xdr:to>
    <xdr:pic>
      <xdr:nvPicPr>
        <xdr:cNvPr id="9" name="Picture 8"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2105025" cy="45720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152400</xdr:colOff>
          <xdr:row>10</xdr:row>
          <xdr:rowOff>9525</xdr:rowOff>
        </xdr:from>
        <xdr:to>
          <xdr:col>6</xdr:col>
          <xdr:colOff>1228725</xdr:colOff>
          <xdr:row>12</xdr:row>
          <xdr:rowOff>28575</xdr:rowOff>
        </xdr:to>
        <xdr:sp macro="" textlink="">
          <xdr:nvSpPr>
            <xdr:cNvPr id="60426" name="Button 10" hidden="1">
              <a:extLst>
                <a:ext uri="{63B3BB69-23CF-44E3-9099-C40C66FF867C}">
                  <a14:compatExt spid="_x0000_s6042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FMEA Rankings</a:t>
              </a:r>
            </a:p>
          </xdr:txBody>
        </xdr:sp>
        <xdr:clientData fPrintsWithSheet="0"/>
      </xdr:twoCellAnchor>
    </mc:Choice>
    <mc:Fallback/>
  </mc:AlternateContent>
  <xdr:twoCellAnchor editAs="oneCell">
    <xdr:from>
      <xdr:col>0</xdr:col>
      <xdr:colOff>76200</xdr:colOff>
      <xdr:row>0</xdr:row>
      <xdr:rowOff>114300</xdr:rowOff>
    </xdr:from>
    <xdr:to>
      <xdr:col>2</xdr:col>
      <xdr:colOff>466725</xdr:colOff>
      <xdr:row>3</xdr:row>
      <xdr:rowOff>85725</xdr:rowOff>
    </xdr:to>
    <xdr:pic>
      <xdr:nvPicPr>
        <xdr:cNvPr id="4" name="Picture 3"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14300"/>
          <a:ext cx="2105025" cy="4572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13</xdr:row>
      <xdr:rowOff>19050</xdr:rowOff>
    </xdr:from>
    <xdr:to>
      <xdr:col>1</xdr:col>
      <xdr:colOff>152400</xdr:colOff>
      <xdr:row>13</xdr:row>
      <xdr:rowOff>142875</xdr:rowOff>
    </xdr:to>
    <xdr:sp macro="" textlink="">
      <xdr:nvSpPr>
        <xdr:cNvPr id="59393" name="Oval 1"/>
        <xdr:cNvSpPr>
          <a:spLocks noChangeArrowheads="1"/>
        </xdr:cNvSpPr>
      </xdr:nvSpPr>
      <xdr:spPr bwMode="auto">
        <a:xfrm>
          <a:off x="104775" y="24384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13</xdr:row>
      <xdr:rowOff>19050</xdr:rowOff>
    </xdr:from>
    <xdr:to>
      <xdr:col>7</xdr:col>
      <xdr:colOff>161925</xdr:colOff>
      <xdr:row>13</xdr:row>
      <xdr:rowOff>142875</xdr:rowOff>
    </xdr:to>
    <xdr:sp macro="" textlink="">
      <xdr:nvSpPr>
        <xdr:cNvPr id="59394" name="Rectangle 2"/>
        <xdr:cNvSpPr>
          <a:spLocks noChangeArrowheads="1"/>
        </xdr:cNvSpPr>
      </xdr:nvSpPr>
      <xdr:spPr bwMode="auto">
        <a:xfrm>
          <a:off x="2590800" y="2438400"/>
          <a:ext cx="123825"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419100</xdr:colOff>
      <xdr:row>13</xdr:row>
      <xdr:rowOff>28575</xdr:rowOff>
    </xdr:from>
    <xdr:to>
      <xdr:col>10</xdr:col>
      <xdr:colOff>581025</xdr:colOff>
      <xdr:row>13</xdr:row>
      <xdr:rowOff>142875</xdr:rowOff>
    </xdr:to>
    <xdr:sp macro="" textlink="">
      <xdr:nvSpPr>
        <xdr:cNvPr id="59395" name="Drawing 3"/>
        <xdr:cNvSpPr>
          <a:spLocks/>
        </xdr:cNvSpPr>
      </xdr:nvSpPr>
      <xdr:spPr bwMode="auto">
        <a:xfrm>
          <a:off x="4972050" y="2447925"/>
          <a:ext cx="161925" cy="114300"/>
        </a:xfrm>
        <a:custGeom>
          <a:avLst/>
          <a:gdLst>
            <a:gd name="T0" fmla="*/ 2147483647 w 16384"/>
            <a:gd name="T1" fmla="*/ 2147483647 h 16384"/>
            <a:gd name="T2" fmla="*/ 2147483647 w 16384"/>
            <a:gd name="T3" fmla="*/ 0 h 16384"/>
            <a:gd name="T4" fmla="*/ 0 w 16384"/>
            <a:gd name="T5" fmla="*/ 0 h 16384"/>
            <a:gd name="T6" fmla="*/ 2147483647 w 16384"/>
            <a:gd name="T7" fmla="*/ 2147483647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8192" y="16384"/>
              </a:moveTo>
              <a:lnTo>
                <a:pt x="16384" y="0"/>
              </a:lnTo>
              <a:lnTo>
                <a:pt x="0" y="0"/>
              </a:lnTo>
              <a:lnTo>
                <a:pt x="8192" y="1638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323850</xdr:colOff>
      <xdr:row>13</xdr:row>
      <xdr:rowOff>0</xdr:rowOff>
    </xdr:from>
    <xdr:to>
      <xdr:col>4</xdr:col>
      <xdr:colOff>85725</xdr:colOff>
      <xdr:row>14</xdr:row>
      <xdr:rowOff>9525</xdr:rowOff>
    </xdr:to>
    <xdr:sp macro="" textlink="">
      <xdr:nvSpPr>
        <xdr:cNvPr id="59396" name="Drawing 4"/>
        <xdr:cNvSpPr>
          <a:spLocks/>
        </xdr:cNvSpPr>
      </xdr:nvSpPr>
      <xdr:spPr bwMode="auto">
        <a:xfrm>
          <a:off x="1152525" y="2419350"/>
          <a:ext cx="133350" cy="171450"/>
        </a:xfrm>
        <a:custGeom>
          <a:avLst/>
          <a:gdLst>
            <a:gd name="T0" fmla="*/ 0 w 16384"/>
            <a:gd name="T1" fmla="*/ 2147483647 h 16384"/>
            <a:gd name="T2" fmla="*/ 0 w 16384"/>
            <a:gd name="T3" fmla="*/ 2147483647 h 16384"/>
            <a:gd name="T4" fmla="*/ 2147483647 w 16384"/>
            <a:gd name="T5" fmla="*/ 2147483647 h 16384"/>
            <a:gd name="T6" fmla="*/ 2147483647 w 16384"/>
            <a:gd name="T7" fmla="*/ 2147483647 h 16384"/>
            <a:gd name="T8" fmla="*/ 2147483647 w 16384"/>
            <a:gd name="T9" fmla="*/ 2147483647 h 16384"/>
            <a:gd name="T10" fmla="*/ 2147483647 w 16384"/>
            <a:gd name="T11" fmla="*/ 0 h 16384"/>
            <a:gd name="T12" fmla="*/ 2147483647 w 16384"/>
            <a:gd name="T13" fmla="*/ 2147483647 h 16384"/>
            <a:gd name="T14" fmla="*/ 0 w 16384"/>
            <a:gd name="T15" fmla="*/ 2147483647 h 16384"/>
            <a:gd name="T16" fmla="*/ 0 60000 65536"/>
            <a:gd name="T17" fmla="*/ 0 60000 65536"/>
            <a:gd name="T18" fmla="*/ 0 60000 65536"/>
            <a:gd name="T19" fmla="*/ 0 60000 65536"/>
            <a:gd name="T20" fmla="*/ 0 60000 65536"/>
            <a:gd name="T21" fmla="*/ 0 60000 65536"/>
            <a:gd name="T22" fmla="*/ 0 60000 65536"/>
            <a:gd name="T23" fmla="*/ 0 60000 65536"/>
            <a:gd name="T24" fmla="*/ 0 w 16384"/>
            <a:gd name="T25" fmla="*/ 0 h 16384"/>
            <a:gd name="T26" fmla="*/ 16384 w 16384"/>
            <a:gd name="T27" fmla="*/ 16384 h 1638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84" h="16384">
              <a:moveTo>
                <a:pt x="0" y="3511"/>
              </a:moveTo>
              <a:lnTo>
                <a:pt x="0" y="12873"/>
              </a:lnTo>
              <a:lnTo>
                <a:pt x="10034" y="12873"/>
              </a:lnTo>
              <a:lnTo>
                <a:pt x="10034" y="16384"/>
              </a:lnTo>
              <a:lnTo>
                <a:pt x="16384" y="8192"/>
              </a:lnTo>
              <a:lnTo>
                <a:pt x="10034" y="0"/>
              </a:lnTo>
              <a:lnTo>
                <a:pt x="10034" y="3511"/>
              </a:lnTo>
              <a:lnTo>
                <a:pt x="0" y="3511"/>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17</xdr:row>
      <xdr:rowOff>38100</xdr:rowOff>
    </xdr:from>
    <xdr:to>
      <xdr:col>1</xdr:col>
      <xdr:colOff>238125</xdr:colOff>
      <xdr:row>17</xdr:row>
      <xdr:rowOff>161925</xdr:rowOff>
    </xdr:to>
    <xdr:sp macro="" textlink="">
      <xdr:nvSpPr>
        <xdr:cNvPr id="59397" name="Oval 7"/>
        <xdr:cNvSpPr>
          <a:spLocks noChangeArrowheads="1"/>
        </xdr:cNvSpPr>
      </xdr:nvSpPr>
      <xdr:spPr bwMode="auto">
        <a:xfrm>
          <a:off x="190500" y="29527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17</xdr:row>
      <xdr:rowOff>19050</xdr:rowOff>
    </xdr:from>
    <xdr:to>
      <xdr:col>2</xdr:col>
      <xdr:colOff>247650</xdr:colOff>
      <xdr:row>18</xdr:row>
      <xdr:rowOff>9525</xdr:rowOff>
    </xdr:to>
    <xdr:sp macro="" textlink="">
      <xdr:nvSpPr>
        <xdr:cNvPr id="59398" name="Drawing 8"/>
        <xdr:cNvSpPr>
          <a:spLocks/>
        </xdr:cNvSpPr>
      </xdr:nvSpPr>
      <xdr:spPr bwMode="auto">
        <a:xfrm>
          <a:off x="571500" y="2933700"/>
          <a:ext cx="133350" cy="180975"/>
        </a:xfrm>
        <a:custGeom>
          <a:avLst/>
          <a:gdLst>
            <a:gd name="T0" fmla="*/ 0 w 16384"/>
            <a:gd name="T1" fmla="*/ 2147483647 h 16384"/>
            <a:gd name="T2" fmla="*/ 0 w 16384"/>
            <a:gd name="T3" fmla="*/ 2147483647 h 16384"/>
            <a:gd name="T4" fmla="*/ 2147483647 w 16384"/>
            <a:gd name="T5" fmla="*/ 2147483647 h 16384"/>
            <a:gd name="T6" fmla="*/ 2147483647 w 16384"/>
            <a:gd name="T7" fmla="*/ 2147483647 h 16384"/>
            <a:gd name="T8" fmla="*/ 2147483647 w 16384"/>
            <a:gd name="T9" fmla="*/ 2147483647 h 16384"/>
            <a:gd name="T10" fmla="*/ 2147483647 w 16384"/>
            <a:gd name="T11" fmla="*/ 0 h 16384"/>
            <a:gd name="T12" fmla="*/ 2147483647 w 16384"/>
            <a:gd name="T13" fmla="*/ 2147483647 h 16384"/>
            <a:gd name="T14" fmla="*/ 0 w 16384"/>
            <a:gd name="T15" fmla="*/ 2147483647 h 16384"/>
            <a:gd name="T16" fmla="*/ 0 60000 65536"/>
            <a:gd name="T17" fmla="*/ 0 60000 65536"/>
            <a:gd name="T18" fmla="*/ 0 60000 65536"/>
            <a:gd name="T19" fmla="*/ 0 60000 65536"/>
            <a:gd name="T20" fmla="*/ 0 60000 65536"/>
            <a:gd name="T21" fmla="*/ 0 60000 65536"/>
            <a:gd name="T22" fmla="*/ 0 60000 65536"/>
            <a:gd name="T23" fmla="*/ 0 60000 65536"/>
            <a:gd name="T24" fmla="*/ 0 w 16384"/>
            <a:gd name="T25" fmla="*/ 0 h 16384"/>
            <a:gd name="T26" fmla="*/ 16384 w 16384"/>
            <a:gd name="T27" fmla="*/ 16384 h 1638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84" h="16384">
              <a:moveTo>
                <a:pt x="0" y="3511"/>
              </a:moveTo>
              <a:lnTo>
                <a:pt x="0" y="12873"/>
              </a:lnTo>
              <a:lnTo>
                <a:pt x="10034" y="12873"/>
              </a:lnTo>
              <a:lnTo>
                <a:pt x="10034" y="16384"/>
              </a:lnTo>
              <a:lnTo>
                <a:pt x="16384" y="8192"/>
              </a:lnTo>
              <a:lnTo>
                <a:pt x="10034" y="0"/>
              </a:lnTo>
              <a:lnTo>
                <a:pt x="10034" y="3511"/>
              </a:lnTo>
              <a:lnTo>
                <a:pt x="0" y="3511"/>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123825</xdr:colOff>
      <xdr:row>17</xdr:row>
      <xdr:rowOff>38100</xdr:rowOff>
    </xdr:from>
    <xdr:to>
      <xdr:col>3</xdr:col>
      <xdr:colOff>247650</xdr:colOff>
      <xdr:row>17</xdr:row>
      <xdr:rowOff>161925</xdr:rowOff>
    </xdr:to>
    <xdr:sp macro="" textlink="">
      <xdr:nvSpPr>
        <xdr:cNvPr id="59399" name="Rectangle 9"/>
        <xdr:cNvSpPr>
          <a:spLocks noChangeArrowheads="1"/>
        </xdr:cNvSpPr>
      </xdr:nvSpPr>
      <xdr:spPr bwMode="auto">
        <a:xfrm>
          <a:off x="952500" y="2952750"/>
          <a:ext cx="123825"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17</xdr:row>
      <xdr:rowOff>38100</xdr:rowOff>
    </xdr:from>
    <xdr:to>
      <xdr:col>5</xdr:col>
      <xdr:colOff>247650</xdr:colOff>
      <xdr:row>17</xdr:row>
      <xdr:rowOff>152400</xdr:rowOff>
    </xdr:to>
    <xdr:sp macro="" textlink="">
      <xdr:nvSpPr>
        <xdr:cNvPr id="59400" name="Drawing 10"/>
        <xdr:cNvSpPr>
          <a:spLocks/>
        </xdr:cNvSpPr>
      </xdr:nvSpPr>
      <xdr:spPr bwMode="auto">
        <a:xfrm>
          <a:off x="1657350" y="2952750"/>
          <a:ext cx="161925" cy="114300"/>
        </a:xfrm>
        <a:custGeom>
          <a:avLst/>
          <a:gdLst>
            <a:gd name="T0" fmla="*/ 2147483647 w 16384"/>
            <a:gd name="T1" fmla="*/ 2147483647 h 16384"/>
            <a:gd name="T2" fmla="*/ 2147483647 w 16384"/>
            <a:gd name="T3" fmla="*/ 0 h 16384"/>
            <a:gd name="T4" fmla="*/ 0 w 16384"/>
            <a:gd name="T5" fmla="*/ 0 h 16384"/>
            <a:gd name="T6" fmla="*/ 2147483647 w 16384"/>
            <a:gd name="T7" fmla="*/ 2147483647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8192" y="16384"/>
              </a:moveTo>
              <a:lnTo>
                <a:pt x="16384" y="0"/>
              </a:lnTo>
              <a:lnTo>
                <a:pt x="0" y="0"/>
              </a:lnTo>
              <a:lnTo>
                <a:pt x="8192" y="1638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600075</xdr:colOff>
      <xdr:row>13</xdr:row>
      <xdr:rowOff>19050</xdr:rowOff>
    </xdr:from>
    <xdr:to>
      <xdr:col>8</xdr:col>
      <xdr:colOff>733425</xdr:colOff>
      <xdr:row>13</xdr:row>
      <xdr:rowOff>152400</xdr:rowOff>
    </xdr:to>
    <xdr:sp macro="" textlink="">
      <xdr:nvSpPr>
        <xdr:cNvPr id="59401" name="Drawing 12"/>
        <xdr:cNvSpPr>
          <a:spLocks/>
        </xdr:cNvSpPr>
      </xdr:nvSpPr>
      <xdr:spPr bwMode="auto">
        <a:xfrm>
          <a:off x="3762375" y="2438400"/>
          <a:ext cx="133350" cy="133350"/>
        </a:xfrm>
        <a:custGeom>
          <a:avLst/>
          <a:gdLst>
            <a:gd name="T0" fmla="*/ 0 w 16384"/>
            <a:gd name="T1" fmla="*/ 2147483647 h 16384"/>
            <a:gd name="T2" fmla="*/ 2147483647 w 16384"/>
            <a:gd name="T3" fmla="*/ 2147483647 h 16384"/>
            <a:gd name="T4" fmla="*/ 2147483647 w 16384"/>
            <a:gd name="T5" fmla="*/ 2147483647 h 16384"/>
            <a:gd name="T6" fmla="*/ 2147483647 w 16384"/>
            <a:gd name="T7" fmla="*/ 2147483647 h 16384"/>
            <a:gd name="T8" fmla="*/ 2147483647 w 16384"/>
            <a:gd name="T9" fmla="*/ 2147483647 h 16384"/>
            <a:gd name="T10" fmla="*/ 2147483647 w 16384"/>
            <a:gd name="T11" fmla="*/ 2147483647 h 16384"/>
            <a:gd name="T12" fmla="*/ 2147483647 w 16384"/>
            <a:gd name="T13" fmla="*/ 2147483647 h 16384"/>
            <a:gd name="T14" fmla="*/ 2147483647 w 16384"/>
            <a:gd name="T15" fmla="*/ 2147483647 h 16384"/>
            <a:gd name="T16" fmla="*/ 2147483647 w 16384"/>
            <a:gd name="T17" fmla="*/ 2147483647 h 16384"/>
            <a:gd name="T18" fmla="*/ 2147483647 w 16384"/>
            <a:gd name="T19" fmla="*/ 2147483647 h 16384"/>
            <a:gd name="T20" fmla="*/ 2147483647 w 16384"/>
            <a:gd name="T21" fmla="*/ 2147483647 h 16384"/>
            <a:gd name="T22" fmla="*/ 2147483647 w 16384"/>
            <a:gd name="T23" fmla="*/ 2147483647 h 16384"/>
            <a:gd name="T24" fmla="*/ 2147483647 w 16384"/>
            <a:gd name="T25" fmla="*/ 2147483647 h 16384"/>
            <a:gd name="T26" fmla="*/ 2147483647 w 16384"/>
            <a:gd name="T27" fmla="*/ 2147483647 h 16384"/>
            <a:gd name="T28" fmla="*/ 2147483647 w 16384"/>
            <a:gd name="T29" fmla="*/ 2147483647 h 16384"/>
            <a:gd name="T30" fmla="*/ 2147483647 w 16384"/>
            <a:gd name="T31" fmla="*/ 2147483647 h 16384"/>
            <a:gd name="T32" fmla="*/ 2147483647 w 16384"/>
            <a:gd name="T33" fmla="*/ 2147483647 h 16384"/>
            <a:gd name="T34" fmla="*/ 2147483647 w 16384"/>
            <a:gd name="T35" fmla="*/ 2147483647 h 16384"/>
            <a:gd name="T36" fmla="*/ 2147483647 w 16384"/>
            <a:gd name="T37" fmla="*/ 2147483647 h 16384"/>
            <a:gd name="T38" fmla="*/ 2147483647 w 16384"/>
            <a:gd name="T39" fmla="*/ 2147483647 h 16384"/>
            <a:gd name="T40" fmla="*/ 2147483647 w 16384"/>
            <a:gd name="T41" fmla="*/ 2147483647 h 16384"/>
            <a:gd name="T42" fmla="*/ 2147483647 w 16384"/>
            <a:gd name="T43" fmla="*/ 2147483647 h 16384"/>
            <a:gd name="T44" fmla="*/ 2147483647 w 16384"/>
            <a:gd name="T45" fmla="*/ 2147483647 h 16384"/>
            <a:gd name="T46" fmla="*/ 2147483647 w 16384"/>
            <a:gd name="T47" fmla="*/ 2147483647 h 16384"/>
            <a:gd name="T48" fmla="*/ 2147483647 w 16384"/>
            <a:gd name="T49" fmla="*/ 2147483647 h 16384"/>
            <a:gd name="T50" fmla="*/ 2147483647 w 16384"/>
            <a:gd name="T51" fmla="*/ 2147483647 h 16384"/>
            <a:gd name="T52" fmla="*/ 2147483647 w 16384"/>
            <a:gd name="T53" fmla="*/ 2147483647 h 16384"/>
            <a:gd name="T54" fmla="*/ 2147483647 w 16384"/>
            <a:gd name="T55" fmla="*/ 2147483647 h 16384"/>
            <a:gd name="T56" fmla="*/ 2147483647 w 16384"/>
            <a:gd name="T57" fmla="*/ 2147483647 h 16384"/>
            <a:gd name="T58" fmla="*/ 2147483647 w 16384"/>
            <a:gd name="T59" fmla="*/ 2147483647 h 16384"/>
            <a:gd name="T60" fmla="*/ 2147483647 w 16384"/>
            <a:gd name="T61" fmla="*/ 2147483647 h 16384"/>
            <a:gd name="T62" fmla="*/ 2147483647 w 16384"/>
            <a:gd name="T63" fmla="*/ 2147483647 h 16384"/>
            <a:gd name="T64" fmla="*/ 2147483647 w 16384"/>
            <a:gd name="T65" fmla="*/ 2147483647 h 16384"/>
            <a:gd name="T66" fmla="*/ 2147483647 w 16384"/>
            <a:gd name="T67" fmla="*/ 2147483647 h 16384"/>
            <a:gd name="T68" fmla="*/ 2147483647 w 16384"/>
            <a:gd name="T69" fmla="*/ 2147483647 h 16384"/>
            <a:gd name="T70" fmla="*/ 2147483647 w 16384"/>
            <a:gd name="T71" fmla="*/ 0 h 16384"/>
            <a:gd name="T72" fmla="*/ 2147483647 w 16384"/>
            <a:gd name="T73" fmla="*/ 2147483647 h 16384"/>
            <a:gd name="T74" fmla="*/ 2147483647 w 16384"/>
            <a:gd name="T75" fmla="*/ 2147483647 h 16384"/>
            <a:gd name="T76" fmla="*/ 0 w 16384"/>
            <a:gd name="T77" fmla="*/ 2147483647 h 16384"/>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16384"/>
            <a:gd name="T118" fmla="*/ 0 h 16384"/>
            <a:gd name="T119" fmla="*/ 16384 w 16384"/>
            <a:gd name="T120" fmla="*/ 16384 h 16384"/>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16384" h="16384">
              <a:moveTo>
                <a:pt x="0" y="74"/>
              </a:moveTo>
              <a:lnTo>
                <a:pt x="0" y="16384"/>
              </a:lnTo>
              <a:lnTo>
                <a:pt x="692" y="16235"/>
              </a:lnTo>
              <a:lnTo>
                <a:pt x="1038" y="16235"/>
              </a:lnTo>
              <a:lnTo>
                <a:pt x="1500" y="16161"/>
              </a:lnTo>
              <a:lnTo>
                <a:pt x="2538" y="16161"/>
              </a:lnTo>
              <a:lnTo>
                <a:pt x="2885" y="16235"/>
              </a:lnTo>
              <a:lnTo>
                <a:pt x="3461" y="16310"/>
              </a:lnTo>
              <a:lnTo>
                <a:pt x="3808" y="16310"/>
              </a:lnTo>
              <a:lnTo>
                <a:pt x="4154" y="16384"/>
              </a:lnTo>
              <a:lnTo>
                <a:pt x="6461" y="16384"/>
              </a:lnTo>
              <a:lnTo>
                <a:pt x="6807" y="16310"/>
              </a:lnTo>
              <a:lnTo>
                <a:pt x="7384" y="16310"/>
              </a:lnTo>
              <a:lnTo>
                <a:pt x="7730" y="16235"/>
              </a:lnTo>
              <a:lnTo>
                <a:pt x="8192" y="16235"/>
              </a:lnTo>
              <a:lnTo>
                <a:pt x="8769" y="16086"/>
              </a:lnTo>
              <a:lnTo>
                <a:pt x="9115" y="15937"/>
              </a:lnTo>
              <a:lnTo>
                <a:pt x="9577" y="15863"/>
              </a:lnTo>
              <a:lnTo>
                <a:pt x="10038" y="15714"/>
              </a:lnTo>
              <a:lnTo>
                <a:pt x="10961" y="15267"/>
              </a:lnTo>
              <a:lnTo>
                <a:pt x="11423" y="15118"/>
              </a:lnTo>
              <a:lnTo>
                <a:pt x="11884" y="14820"/>
              </a:lnTo>
              <a:lnTo>
                <a:pt x="12576" y="14448"/>
              </a:lnTo>
              <a:lnTo>
                <a:pt x="12923" y="14150"/>
              </a:lnTo>
              <a:lnTo>
                <a:pt x="13499" y="13852"/>
              </a:lnTo>
              <a:lnTo>
                <a:pt x="13846" y="13703"/>
              </a:lnTo>
              <a:lnTo>
                <a:pt x="13961" y="13405"/>
              </a:lnTo>
              <a:lnTo>
                <a:pt x="14307" y="13256"/>
              </a:lnTo>
              <a:lnTo>
                <a:pt x="14653" y="12958"/>
              </a:lnTo>
              <a:lnTo>
                <a:pt x="14884" y="12735"/>
              </a:lnTo>
              <a:lnTo>
                <a:pt x="15115" y="12362"/>
              </a:lnTo>
              <a:lnTo>
                <a:pt x="15461" y="11990"/>
              </a:lnTo>
              <a:lnTo>
                <a:pt x="15692" y="11618"/>
              </a:lnTo>
              <a:lnTo>
                <a:pt x="15807" y="11171"/>
              </a:lnTo>
              <a:lnTo>
                <a:pt x="16038" y="10799"/>
              </a:lnTo>
              <a:lnTo>
                <a:pt x="16153" y="10426"/>
              </a:lnTo>
              <a:lnTo>
                <a:pt x="16153" y="10128"/>
              </a:lnTo>
              <a:lnTo>
                <a:pt x="16269" y="9756"/>
              </a:lnTo>
              <a:lnTo>
                <a:pt x="16269" y="9458"/>
              </a:lnTo>
              <a:lnTo>
                <a:pt x="16384" y="9160"/>
              </a:lnTo>
              <a:lnTo>
                <a:pt x="16384" y="7671"/>
              </a:lnTo>
              <a:lnTo>
                <a:pt x="16269" y="7447"/>
              </a:lnTo>
              <a:lnTo>
                <a:pt x="16269" y="6926"/>
              </a:lnTo>
              <a:lnTo>
                <a:pt x="16153" y="6479"/>
              </a:lnTo>
              <a:lnTo>
                <a:pt x="16038" y="6256"/>
              </a:lnTo>
              <a:lnTo>
                <a:pt x="16038" y="5958"/>
              </a:lnTo>
              <a:lnTo>
                <a:pt x="15922" y="5585"/>
              </a:lnTo>
              <a:lnTo>
                <a:pt x="15922" y="5362"/>
              </a:lnTo>
              <a:lnTo>
                <a:pt x="15807" y="4990"/>
              </a:lnTo>
              <a:lnTo>
                <a:pt x="15576" y="4692"/>
              </a:lnTo>
              <a:lnTo>
                <a:pt x="15115" y="4245"/>
              </a:lnTo>
              <a:lnTo>
                <a:pt x="14769" y="3947"/>
              </a:lnTo>
              <a:lnTo>
                <a:pt x="14307" y="3724"/>
              </a:lnTo>
              <a:lnTo>
                <a:pt x="13961" y="3426"/>
              </a:lnTo>
              <a:lnTo>
                <a:pt x="13730" y="3202"/>
              </a:lnTo>
              <a:lnTo>
                <a:pt x="13384" y="3128"/>
              </a:lnTo>
              <a:lnTo>
                <a:pt x="13269" y="2830"/>
              </a:lnTo>
              <a:lnTo>
                <a:pt x="12923" y="2607"/>
              </a:lnTo>
              <a:lnTo>
                <a:pt x="12692" y="2383"/>
              </a:lnTo>
              <a:lnTo>
                <a:pt x="12230" y="2085"/>
              </a:lnTo>
              <a:lnTo>
                <a:pt x="11884" y="1787"/>
              </a:lnTo>
              <a:lnTo>
                <a:pt x="11192" y="1341"/>
              </a:lnTo>
              <a:lnTo>
                <a:pt x="10730" y="1192"/>
              </a:lnTo>
              <a:lnTo>
                <a:pt x="10384" y="968"/>
              </a:lnTo>
              <a:lnTo>
                <a:pt x="10038" y="819"/>
              </a:lnTo>
              <a:lnTo>
                <a:pt x="9692" y="819"/>
              </a:lnTo>
              <a:lnTo>
                <a:pt x="9115" y="596"/>
              </a:lnTo>
              <a:lnTo>
                <a:pt x="8654" y="596"/>
              </a:lnTo>
              <a:lnTo>
                <a:pt x="8192" y="447"/>
              </a:lnTo>
              <a:lnTo>
                <a:pt x="6807" y="149"/>
              </a:lnTo>
              <a:lnTo>
                <a:pt x="6346" y="149"/>
              </a:lnTo>
              <a:lnTo>
                <a:pt x="5654" y="0"/>
              </a:lnTo>
              <a:lnTo>
                <a:pt x="3115" y="0"/>
              </a:lnTo>
              <a:lnTo>
                <a:pt x="2769" y="74"/>
              </a:lnTo>
              <a:lnTo>
                <a:pt x="1731" y="74"/>
              </a:lnTo>
              <a:lnTo>
                <a:pt x="1385" y="149"/>
              </a:lnTo>
              <a:lnTo>
                <a:pt x="692" y="149"/>
              </a:lnTo>
              <a:lnTo>
                <a:pt x="0" y="7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123825</xdr:colOff>
      <xdr:row>17</xdr:row>
      <xdr:rowOff>28575</xdr:rowOff>
    </xdr:from>
    <xdr:to>
      <xdr:col>4</xdr:col>
      <xdr:colOff>257175</xdr:colOff>
      <xdr:row>17</xdr:row>
      <xdr:rowOff>161925</xdr:rowOff>
    </xdr:to>
    <xdr:sp macro="" textlink="">
      <xdr:nvSpPr>
        <xdr:cNvPr id="59402" name="Drawing 13"/>
        <xdr:cNvSpPr>
          <a:spLocks/>
        </xdr:cNvSpPr>
      </xdr:nvSpPr>
      <xdr:spPr bwMode="auto">
        <a:xfrm>
          <a:off x="1323975" y="2943225"/>
          <a:ext cx="133350" cy="133350"/>
        </a:xfrm>
        <a:custGeom>
          <a:avLst/>
          <a:gdLst>
            <a:gd name="T0" fmla="*/ 0 w 16384"/>
            <a:gd name="T1" fmla="*/ 2147483647 h 16384"/>
            <a:gd name="T2" fmla="*/ 2147483647 w 16384"/>
            <a:gd name="T3" fmla="*/ 2147483647 h 16384"/>
            <a:gd name="T4" fmla="*/ 2147483647 w 16384"/>
            <a:gd name="T5" fmla="*/ 2147483647 h 16384"/>
            <a:gd name="T6" fmla="*/ 2147483647 w 16384"/>
            <a:gd name="T7" fmla="*/ 2147483647 h 16384"/>
            <a:gd name="T8" fmla="*/ 2147483647 w 16384"/>
            <a:gd name="T9" fmla="*/ 2147483647 h 16384"/>
            <a:gd name="T10" fmla="*/ 2147483647 w 16384"/>
            <a:gd name="T11" fmla="*/ 2147483647 h 16384"/>
            <a:gd name="T12" fmla="*/ 2147483647 w 16384"/>
            <a:gd name="T13" fmla="*/ 2147483647 h 16384"/>
            <a:gd name="T14" fmla="*/ 2147483647 w 16384"/>
            <a:gd name="T15" fmla="*/ 2147483647 h 16384"/>
            <a:gd name="T16" fmla="*/ 2147483647 w 16384"/>
            <a:gd name="T17" fmla="*/ 2147483647 h 16384"/>
            <a:gd name="T18" fmla="*/ 2147483647 w 16384"/>
            <a:gd name="T19" fmla="*/ 2147483647 h 16384"/>
            <a:gd name="T20" fmla="*/ 2147483647 w 16384"/>
            <a:gd name="T21" fmla="*/ 2147483647 h 16384"/>
            <a:gd name="T22" fmla="*/ 2147483647 w 16384"/>
            <a:gd name="T23" fmla="*/ 2147483647 h 16384"/>
            <a:gd name="T24" fmla="*/ 2147483647 w 16384"/>
            <a:gd name="T25" fmla="*/ 2147483647 h 16384"/>
            <a:gd name="T26" fmla="*/ 2147483647 w 16384"/>
            <a:gd name="T27" fmla="*/ 2147483647 h 16384"/>
            <a:gd name="T28" fmla="*/ 2147483647 w 16384"/>
            <a:gd name="T29" fmla="*/ 2147483647 h 16384"/>
            <a:gd name="T30" fmla="*/ 2147483647 w 16384"/>
            <a:gd name="T31" fmla="*/ 2147483647 h 16384"/>
            <a:gd name="T32" fmla="*/ 2147483647 w 16384"/>
            <a:gd name="T33" fmla="*/ 2147483647 h 16384"/>
            <a:gd name="T34" fmla="*/ 2147483647 w 16384"/>
            <a:gd name="T35" fmla="*/ 2147483647 h 16384"/>
            <a:gd name="T36" fmla="*/ 2147483647 w 16384"/>
            <a:gd name="T37" fmla="*/ 2147483647 h 16384"/>
            <a:gd name="T38" fmla="*/ 2147483647 w 16384"/>
            <a:gd name="T39" fmla="*/ 2147483647 h 16384"/>
            <a:gd name="T40" fmla="*/ 2147483647 w 16384"/>
            <a:gd name="T41" fmla="*/ 2147483647 h 16384"/>
            <a:gd name="T42" fmla="*/ 2147483647 w 16384"/>
            <a:gd name="T43" fmla="*/ 2147483647 h 16384"/>
            <a:gd name="T44" fmla="*/ 2147483647 w 16384"/>
            <a:gd name="T45" fmla="*/ 2147483647 h 16384"/>
            <a:gd name="T46" fmla="*/ 2147483647 w 16384"/>
            <a:gd name="T47" fmla="*/ 2147483647 h 16384"/>
            <a:gd name="T48" fmla="*/ 2147483647 w 16384"/>
            <a:gd name="T49" fmla="*/ 2147483647 h 16384"/>
            <a:gd name="T50" fmla="*/ 2147483647 w 16384"/>
            <a:gd name="T51" fmla="*/ 2147483647 h 16384"/>
            <a:gd name="T52" fmla="*/ 2147483647 w 16384"/>
            <a:gd name="T53" fmla="*/ 2147483647 h 16384"/>
            <a:gd name="T54" fmla="*/ 2147483647 w 16384"/>
            <a:gd name="T55" fmla="*/ 2147483647 h 16384"/>
            <a:gd name="T56" fmla="*/ 2147483647 w 16384"/>
            <a:gd name="T57" fmla="*/ 2147483647 h 16384"/>
            <a:gd name="T58" fmla="*/ 2147483647 w 16384"/>
            <a:gd name="T59" fmla="*/ 2147483647 h 16384"/>
            <a:gd name="T60" fmla="*/ 2147483647 w 16384"/>
            <a:gd name="T61" fmla="*/ 2147483647 h 16384"/>
            <a:gd name="T62" fmla="*/ 2147483647 w 16384"/>
            <a:gd name="T63" fmla="*/ 2147483647 h 16384"/>
            <a:gd name="T64" fmla="*/ 2147483647 w 16384"/>
            <a:gd name="T65" fmla="*/ 2147483647 h 16384"/>
            <a:gd name="T66" fmla="*/ 2147483647 w 16384"/>
            <a:gd name="T67" fmla="*/ 2147483647 h 16384"/>
            <a:gd name="T68" fmla="*/ 2147483647 w 16384"/>
            <a:gd name="T69" fmla="*/ 2147483647 h 16384"/>
            <a:gd name="T70" fmla="*/ 2147483647 w 16384"/>
            <a:gd name="T71" fmla="*/ 0 h 16384"/>
            <a:gd name="T72" fmla="*/ 2147483647 w 16384"/>
            <a:gd name="T73" fmla="*/ 2147483647 h 16384"/>
            <a:gd name="T74" fmla="*/ 2147483647 w 16384"/>
            <a:gd name="T75" fmla="*/ 2147483647 h 16384"/>
            <a:gd name="T76" fmla="*/ 0 w 16384"/>
            <a:gd name="T77" fmla="*/ 2147483647 h 16384"/>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16384"/>
            <a:gd name="T118" fmla="*/ 0 h 16384"/>
            <a:gd name="T119" fmla="*/ 16384 w 16384"/>
            <a:gd name="T120" fmla="*/ 16384 h 16384"/>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16384" h="16384">
              <a:moveTo>
                <a:pt x="0" y="74"/>
              </a:moveTo>
              <a:lnTo>
                <a:pt x="0" y="16384"/>
              </a:lnTo>
              <a:lnTo>
                <a:pt x="692" y="16235"/>
              </a:lnTo>
              <a:lnTo>
                <a:pt x="1038" y="16235"/>
              </a:lnTo>
              <a:lnTo>
                <a:pt x="1500" y="16161"/>
              </a:lnTo>
              <a:lnTo>
                <a:pt x="2538" y="16161"/>
              </a:lnTo>
              <a:lnTo>
                <a:pt x="2885" y="16235"/>
              </a:lnTo>
              <a:lnTo>
                <a:pt x="3461" y="16310"/>
              </a:lnTo>
              <a:lnTo>
                <a:pt x="3808" y="16310"/>
              </a:lnTo>
              <a:lnTo>
                <a:pt x="4154" y="16384"/>
              </a:lnTo>
              <a:lnTo>
                <a:pt x="6461" y="16384"/>
              </a:lnTo>
              <a:lnTo>
                <a:pt x="6807" y="16310"/>
              </a:lnTo>
              <a:lnTo>
                <a:pt x="7384" y="16310"/>
              </a:lnTo>
              <a:lnTo>
                <a:pt x="7730" y="16235"/>
              </a:lnTo>
              <a:lnTo>
                <a:pt x="8192" y="16235"/>
              </a:lnTo>
              <a:lnTo>
                <a:pt x="8769" y="16086"/>
              </a:lnTo>
              <a:lnTo>
                <a:pt x="9115" y="15937"/>
              </a:lnTo>
              <a:lnTo>
                <a:pt x="9577" y="15863"/>
              </a:lnTo>
              <a:lnTo>
                <a:pt x="10038" y="15714"/>
              </a:lnTo>
              <a:lnTo>
                <a:pt x="10961" y="15267"/>
              </a:lnTo>
              <a:lnTo>
                <a:pt x="11423" y="15118"/>
              </a:lnTo>
              <a:lnTo>
                <a:pt x="11884" y="14820"/>
              </a:lnTo>
              <a:lnTo>
                <a:pt x="12576" y="14448"/>
              </a:lnTo>
              <a:lnTo>
                <a:pt x="12923" y="14150"/>
              </a:lnTo>
              <a:lnTo>
                <a:pt x="13499" y="13852"/>
              </a:lnTo>
              <a:lnTo>
                <a:pt x="13846" y="13703"/>
              </a:lnTo>
              <a:lnTo>
                <a:pt x="13961" y="13405"/>
              </a:lnTo>
              <a:lnTo>
                <a:pt x="14307" y="13256"/>
              </a:lnTo>
              <a:lnTo>
                <a:pt x="14653" y="12958"/>
              </a:lnTo>
              <a:lnTo>
                <a:pt x="14884" y="12735"/>
              </a:lnTo>
              <a:lnTo>
                <a:pt x="15115" y="12362"/>
              </a:lnTo>
              <a:lnTo>
                <a:pt x="15461" y="11990"/>
              </a:lnTo>
              <a:lnTo>
                <a:pt x="15692" y="11618"/>
              </a:lnTo>
              <a:lnTo>
                <a:pt x="15807" y="11171"/>
              </a:lnTo>
              <a:lnTo>
                <a:pt x="16038" y="10799"/>
              </a:lnTo>
              <a:lnTo>
                <a:pt x="16153" y="10426"/>
              </a:lnTo>
              <a:lnTo>
                <a:pt x="16153" y="10128"/>
              </a:lnTo>
              <a:lnTo>
                <a:pt x="16269" y="9756"/>
              </a:lnTo>
              <a:lnTo>
                <a:pt x="16269" y="9458"/>
              </a:lnTo>
              <a:lnTo>
                <a:pt x="16384" y="9160"/>
              </a:lnTo>
              <a:lnTo>
                <a:pt x="16384" y="7671"/>
              </a:lnTo>
              <a:lnTo>
                <a:pt x="16269" y="7447"/>
              </a:lnTo>
              <a:lnTo>
                <a:pt x="16269" y="6926"/>
              </a:lnTo>
              <a:lnTo>
                <a:pt x="16153" y="6479"/>
              </a:lnTo>
              <a:lnTo>
                <a:pt x="16038" y="6256"/>
              </a:lnTo>
              <a:lnTo>
                <a:pt x="16038" y="5958"/>
              </a:lnTo>
              <a:lnTo>
                <a:pt x="15922" y="5585"/>
              </a:lnTo>
              <a:lnTo>
                <a:pt x="15922" y="5362"/>
              </a:lnTo>
              <a:lnTo>
                <a:pt x="15807" y="4990"/>
              </a:lnTo>
              <a:lnTo>
                <a:pt x="15576" y="4692"/>
              </a:lnTo>
              <a:lnTo>
                <a:pt x="15115" y="4245"/>
              </a:lnTo>
              <a:lnTo>
                <a:pt x="14769" y="3947"/>
              </a:lnTo>
              <a:lnTo>
                <a:pt x="14307" y="3724"/>
              </a:lnTo>
              <a:lnTo>
                <a:pt x="13961" y="3426"/>
              </a:lnTo>
              <a:lnTo>
                <a:pt x="13730" y="3202"/>
              </a:lnTo>
              <a:lnTo>
                <a:pt x="13384" y="3128"/>
              </a:lnTo>
              <a:lnTo>
                <a:pt x="13269" y="2830"/>
              </a:lnTo>
              <a:lnTo>
                <a:pt x="12923" y="2607"/>
              </a:lnTo>
              <a:lnTo>
                <a:pt x="12692" y="2383"/>
              </a:lnTo>
              <a:lnTo>
                <a:pt x="12230" y="2085"/>
              </a:lnTo>
              <a:lnTo>
                <a:pt x="11884" y="1787"/>
              </a:lnTo>
              <a:lnTo>
                <a:pt x="11192" y="1341"/>
              </a:lnTo>
              <a:lnTo>
                <a:pt x="10730" y="1192"/>
              </a:lnTo>
              <a:lnTo>
                <a:pt x="10384" y="968"/>
              </a:lnTo>
              <a:lnTo>
                <a:pt x="10038" y="819"/>
              </a:lnTo>
              <a:lnTo>
                <a:pt x="9692" y="819"/>
              </a:lnTo>
              <a:lnTo>
                <a:pt x="9115" y="596"/>
              </a:lnTo>
              <a:lnTo>
                <a:pt x="8654" y="596"/>
              </a:lnTo>
              <a:lnTo>
                <a:pt x="8192" y="447"/>
              </a:lnTo>
              <a:lnTo>
                <a:pt x="6807" y="149"/>
              </a:lnTo>
              <a:lnTo>
                <a:pt x="6346" y="149"/>
              </a:lnTo>
              <a:lnTo>
                <a:pt x="5654" y="0"/>
              </a:lnTo>
              <a:lnTo>
                <a:pt x="3115" y="0"/>
              </a:lnTo>
              <a:lnTo>
                <a:pt x="2769" y="74"/>
              </a:lnTo>
              <a:lnTo>
                <a:pt x="1731" y="74"/>
              </a:lnTo>
              <a:lnTo>
                <a:pt x="1385" y="149"/>
              </a:lnTo>
              <a:lnTo>
                <a:pt x="692" y="149"/>
              </a:lnTo>
              <a:lnTo>
                <a:pt x="0" y="7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20</xdr:row>
      <xdr:rowOff>19050</xdr:rowOff>
    </xdr:from>
    <xdr:to>
      <xdr:col>1</xdr:col>
      <xdr:colOff>152400</xdr:colOff>
      <xdr:row>20</xdr:row>
      <xdr:rowOff>142875</xdr:rowOff>
    </xdr:to>
    <xdr:sp macro="" textlink="">
      <xdr:nvSpPr>
        <xdr:cNvPr id="59403" name="Oval 14"/>
        <xdr:cNvSpPr>
          <a:spLocks noChangeArrowheads="1"/>
        </xdr:cNvSpPr>
      </xdr:nvSpPr>
      <xdr:spPr bwMode="auto">
        <a:xfrm>
          <a:off x="104775" y="33623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314325</xdr:colOff>
      <xdr:row>24</xdr:row>
      <xdr:rowOff>0</xdr:rowOff>
    </xdr:from>
    <xdr:to>
      <xdr:col>1</xdr:col>
      <xdr:colOff>85725</xdr:colOff>
      <xdr:row>25</xdr:row>
      <xdr:rowOff>9525</xdr:rowOff>
    </xdr:to>
    <xdr:sp macro="" textlink="">
      <xdr:nvSpPr>
        <xdr:cNvPr id="59404" name="Drawing 4"/>
        <xdr:cNvSpPr>
          <a:spLocks/>
        </xdr:cNvSpPr>
      </xdr:nvSpPr>
      <xdr:spPr bwMode="auto">
        <a:xfrm>
          <a:off x="85725" y="3990975"/>
          <a:ext cx="85725" cy="171450"/>
        </a:xfrm>
        <a:custGeom>
          <a:avLst/>
          <a:gdLst>
            <a:gd name="T0" fmla="*/ 0 w 16384"/>
            <a:gd name="T1" fmla="*/ 2147483647 h 16384"/>
            <a:gd name="T2" fmla="*/ 0 w 16384"/>
            <a:gd name="T3" fmla="*/ 2147483647 h 16384"/>
            <a:gd name="T4" fmla="*/ 2147483647 w 16384"/>
            <a:gd name="T5" fmla="*/ 2147483647 h 16384"/>
            <a:gd name="T6" fmla="*/ 2147483647 w 16384"/>
            <a:gd name="T7" fmla="*/ 2147483647 h 16384"/>
            <a:gd name="T8" fmla="*/ 2147483647 w 16384"/>
            <a:gd name="T9" fmla="*/ 2147483647 h 16384"/>
            <a:gd name="T10" fmla="*/ 2147483647 w 16384"/>
            <a:gd name="T11" fmla="*/ 0 h 16384"/>
            <a:gd name="T12" fmla="*/ 2147483647 w 16384"/>
            <a:gd name="T13" fmla="*/ 2147483647 h 16384"/>
            <a:gd name="T14" fmla="*/ 0 w 16384"/>
            <a:gd name="T15" fmla="*/ 2147483647 h 16384"/>
            <a:gd name="T16" fmla="*/ 0 60000 65536"/>
            <a:gd name="T17" fmla="*/ 0 60000 65536"/>
            <a:gd name="T18" fmla="*/ 0 60000 65536"/>
            <a:gd name="T19" fmla="*/ 0 60000 65536"/>
            <a:gd name="T20" fmla="*/ 0 60000 65536"/>
            <a:gd name="T21" fmla="*/ 0 60000 65536"/>
            <a:gd name="T22" fmla="*/ 0 60000 65536"/>
            <a:gd name="T23" fmla="*/ 0 60000 65536"/>
            <a:gd name="T24" fmla="*/ 0 w 16384"/>
            <a:gd name="T25" fmla="*/ 0 h 16384"/>
            <a:gd name="T26" fmla="*/ 16384 w 16384"/>
            <a:gd name="T27" fmla="*/ 16384 h 1638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84" h="16384">
              <a:moveTo>
                <a:pt x="0" y="3511"/>
              </a:moveTo>
              <a:lnTo>
                <a:pt x="0" y="12873"/>
              </a:lnTo>
              <a:lnTo>
                <a:pt x="10034" y="12873"/>
              </a:lnTo>
              <a:lnTo>
                <a:pt x="10034" y="16384"/>
              </a:lnTo>
              <a:lnTo>
                <a:pt x="16384" y="8192"/>
              </a:lnTo>
              <a:lnTo>
                <a:pt x="10034" y="0"/>
              </a:lnTo>
              <a:lnTo>
                <a:pt x="10034" y="3511"/>
              </a:lnTo>
              <a:lnTo>
                <a:pt x="0" y="3511"/>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26</xdr:row>
      <xdr:rowOff>28575</xdr:rowOff>
    </xdr:from>
    <xdr:to>
      <xdr:col>1</xdr:col>
      <xdr:colOff>200025</xdr:colOff>
      <xdr:row>26</xdr:row>
      <xdr:rowOff>142875</xdr:rowOff>
    </xdr:to>
    <xdr:sp macro="" textlink="">
      <xdr:nvSpPr>
        <xdr:cNvPr id="59405" name="Drawing 3"/>
        <xdr:cNvSpPr>
          <a:spLocks/>
        </xdr:cNvSpPr>
      </xdr:nvSpPr>
      <xdr:spPr bwMode="auto">
        <a:xfrm>
          <a:off x="133350" y="4343400"/>
          <a:ext cx="152400" cy="114300"/>
        </a:xfrm>
        <a:custGeom>
          <a:avLst/>
          <a:gdLst>
            <a:gd name="T0" fmla="*/ 2147483647 w 16384"/>
            <a:gd name="T1" fmla="*/ 2147483647 h 16384"/>
            <a:gd name="T2" fmla="*/ 2147483647 w 16384"/>
            <a:gd name="T3" fmla="*/ 0 h 16384"/>
            <a:gd name="T4" fmla="*/ 0 w 16384"/>
            <a:gd name="T5" fmla="*/ 0 h 16384"/>
            <a:gd name="T6" fmla="*/ 2147483647 w 16384"/>
            <a:gd name="T7" fmla="*/ 2147483647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8192" y="16384"/>
              </a:moveTo>
              <a:lnTo>
                <a:pt x="16384" y="0"/>
              </a:lnTo>
              <a:lnTo>
                <a:pt x="0" y="0"/>
              </a:lnTo>
              <a:lnTo>
                <a:pt x="8192" y="1638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314325</xdr:colOff>
      <xdr:row>28</xdr:row>
      <xdr:rowOff>0</xdr:rowOff>
    </xdr:from>
    <xdr:to>
      <xdr:col>1</xdr:col>
      <xdr:colOff>85725</xdr:colOff>
      <xdr:row>29</xdr:row>
      <xdr:rowOff>9525</xdr:rowOff>
    </xdr:to>
    <xdr:sp macro="" textlink="">
      <xdr:nvSpPr>
        <xdr:cNvPr id="59406" name="Drawing 4"/>
        <xdr:cNvSpPr>
          <a:spLocks/>
        </xdr:cNvSpPr>
      </xdr:nvSpPr>
      <xdr:spPr bwMode="auto">
        <a:xfrm>
          <a:off x="85725" y="4638675"/>
          <a:ext cx="85725" cy="171450"/>
        </a:xfrm>
        <a:custGeom>
          <a:avLst/>
          <a:gdLst>
            <a:gd name="T0" fmla="*/ 0 w 16384"/>
            <a:gd name="T1" fmla="*/ 2147483647 h 16384"/>
            <a:gd name="T2" fmla="*/ 0 w 16384"/>
            <a:gd name="T3" fmla="*/ 2147483647 h 16384"/>
            <a:gd name="T4" fmla="*/ 2147483647 w 16384"/>
            <a:gd name="T5" fmla="*/ 2147483647 h 16384"/>
            <a:gd name="T6" fmla="*/ 2147483647 w 16384"/>
            <a:gd name="T7" fmla="*/ 2147483647 h 16384"/>
            <a:gd name="T8" fmla="*/ 2147483647 w 16384"/>
            <a:gd name="T9" fmla="*/ 2147483647 h 16384"/>
            <a:gd name="T10" fmla="*/ 2147483647 w 16384"/>
            <a:gd name="T11" fmla="*/ 0 h 16384"/>
            <a:gd name="T12" fmla="*/ 2147483647 w 16384"/>
            <a:gd name="T13" fmla="*/ 2147483647 h 16384"/>
            <a:gd name="T14" fmla="*/ 0 w 16384"/>
            <a:gd name="T15" fmla="*/ 2147483647 h 16384"/>
            <a:gd name="T16" fmla="*/ 0 60000 65536"/>
            <a:gd name="T17" fmla="*/ 0 60000 65536"/>
            <a:gd name="T18" fmla="*/ 0 60000 65536"/>
            <a:gd name="T19" fmla="*/ 0 60000 65536"/>
            <a:gd name="T20" fmla="*/ 0 60000 65536"/>
            <a:gd name="T21" fmla="*/ 0 60000 65536"/>
            <a:gd name="T22" fmla="*/ 0 60000 65536"/>
            <a:gd name="T23" fmla="*/ 0 60000 65536"/>
            <a:gd name="T24" fmla="*/ 0 w 16384"/>
            <a:gd name="T25" fmla="*/ 0 h 16384"/>
            <a:gd name="T26" fmla="*/ 16384 w 16384"/>
            <a:gd name="T27" fmla="*/ 16384 h 1638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84" h="16384">
              <a:moveTo>
                <a:pt x="0" y="3511"/>
              </a:moveTo>
              <a:lnTo>
                <a:pt x="0" y="12873"/>
              </a:lnTo>
              <a:lnTo>
                <a:pt x="10034" y="12873"/>
              </a:lnTo>
              <a:lnTo>
                <a:pt x="10034" y="16384"/>
              </a:lnTo>
              <a:lnTo>
                <a:pt x="16384" y="8192"/>
              </a:lnTo>
              <a:lnTo>
                <a:pt x="10034" y="0"/>
              </a:lnTo>
              <a:lnTo>
                <a:pt x="10034" y="3511"/>
              </a:lnTo>
              <a:lnTo>
                <a:pt x="0" y="3511"/>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30</xdr:row>
      <xdr:rowOff>19050</xdr:rowOff>
    </xdr:from>
    <xdr:to>
      <xdr:col>1</xdr:col>
      <xdr:colOff>152400</xdr:colOff>
      <xdr:row>30</xdr:row>
      <xdr:rowOff>142875</xdr:rowOff>
    </xdr:to>
    <xdr:sp macro="" textlink="">
      <xdr:nvSpPr>
        <xdr:cNvPr id="59407" name="Oval 18"/>
        <xdr:cNvSpPr>
          <a:spLocks noChangeArrowheads="1"/>
        </xdr:cNvSpPr>
      </xdr:nvSpPr>
      <xdr:spPr bwMode="auto">
        <a:xfrm>
          <a:off x="104775" y="49815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32</xdr:row>
      <xdr:rowOff>19050</xdr:rowOff>
    </xdr:from>
    <xdr:to>
      <xdr:col>1</xdr:col>
      <xdr:colOff>152400</xdr:colOff>
      <xdr:row>32</xdr:row>
      <xdr:rowOff>142875</xdr:rowOff>
    </xdr:to>
    <xdr:sp macro="" textlink="">
      <xdr:nvSpPr>
        <xdr:cNvPr id="59408" name="Oval 19"/>
        <xdr:cNvSpPr>
          <a:spLocks noChangeArrowheads="1"/>
        </xdr:cNvSpPr>
      </xdr:nvSpPr>
      <xdr:spPr bwMode="auto">
        <a:xfrm>
          <a:off x="104775" y="53054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36</xdr:row>
      <xdr:rowOff>19050</xdr:rowOff>
    </xdr:from>
    <xdr:to>
      <xdr:col>1</xdr:col>
      <xdr:colOff>152400</xdr:colOff>
      <xdr:row>36</xdr:row>
      <xdr:rowOff>142875</xdr:rowOff>
    </xdr:to>
    <xdr:sp macro="" textlink="">
      <xdr:nvSpPr>
        <xdr:cNvPr id="59409" name="Oval 20"/>
        <xdr:cNvSpPr>
          <a:spLocks noChangeArrowheads="1"/>
        </xdr:cNvSpPr>
      </xdr:nvSpPr>
      <xdr:spPr bwMode="auto">
        <a:xfrm>
          <a:off x="104775" y="59531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34</xdr:row>
      <xdr:rowOff>19050</xdr:rowOff>
    </xdr:from>
    <xdr:to>
      <xdr:col>1</xdr:col>
      <xdr:colOff>152400</xdr:colOff>
      <xdr:row>34</xdr:row>
      <xdr:rowOff>142875</xdr:rowOff>
    </xdr:to>
    <xdr:sp macro="" textlink="">
      <xdr:nvSpPr>
        <xdr:cNvPr id="59410" name="Rectangle 21"/>
        <xdr:cNvSpPr>
          <a:spLocks noChangeArrowheads="1"/>
        </xdr:cNvSpPr>
      </xdr:nvSpPr>
      <xdr:spPr bwMode="auto">
        <a:xfrm>
          <a:off x="123825" y="5629275"/>
          <a:ext cx="114300"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42</xdr:row>
      <xdr:rowOff>19050</xdr:rowOff>
    </xdr:from>
    <xdr:to>
      <xdr:col>1</xdr:col>
      <xdr:colOff>152400</xdr:colOff>
      <xdr:row>42</xdr:row>
      <xdr:rowOff>142875</xdr:rowOff>
    </xdr:to>
    <xdr:sp macro="" textlink="">
      <xdr:nvSpPr>
        <xdr:cNvPr id="59411" name="Rectangle 22"/>
        <xdr:cNvSpPr>
          <a:spLocks noChangeArrowheads="1"/>
        </xdr:cNvSpPr>
      </xdr:nvSpPr>
      <xdr:spPr bwMode="auto">
        <a:xfrm>
          <a:off x="123825" y="6924675"/>
          <a:ext cx="114300"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48</xdr:row>
      <xdr:rowOff>19050</xdr:rowOff>
    </xdr:from>
    <xdr:to>
      <xdr:col>1</xdr:col>
      <xdr:colOff>152400</xdr:colOff>
      <xdr:row>48</xdr:row>
      <xdr:rowOff>142875</xdr:rowOff>
    </xdr:to>
    <xdr:sp macro="" textlink="">
      <xdr:nvSpPr>
        <xdr:cNvPr id="59412" name="Rectangle 23"/>
        <xdr:cNvSpPr>
          <a:spLocks noChangeArrowheads="1"/>
        </xdr:cNvSpPr>
      </xdr:nvSpPr>
      <xdr:spPr bwMode="auto">
        <a:xfrm>
          <a:off x="123825" y="7896225"/>
          <a:ext cx="114300"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46</xdr:row>
      <xdr:rowOff>19050</xdr:rowOff>
    </xdr:from>
    <xdr:to>
      <xdr:col>1</xdr:col>
      <xdr:colOff>152400</xdr:colOff>
      <xdr:row>46</xdr:row>
      <xdr:rowOff>142875</xdr:rowOff>
    </xdr:to>
    <xdr:sp macro="" textlink="">
      <xdr:nvSpPr>
        <xdr:cNvPr id="59413" name="Oval 24"/>
        <xdr:cNvSpPr>
          <a:spLocks noChangeArrowheads="1"/>
        </xdr:cNvSpPr>
      </xdr:nvSpPr>
      <xdr:spPr bwMode="auto">
        <a:xfrm>
          <a:off x="104775" y="75723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50</xdr:row>
      <xdr:rowOff>19050</xdr:rowOff>
    </xdr:from>
    <xdr:to>
      <xdr:col>1</xdr:col>
      <xdr:colOff>152400</xdr:colOff>
      <xdr:row>50</xdr:row>
      <xdr:rowOff>142875</xdr:rowOff>
    </xdr:to>
    <xdr:sp macro="" textlink="">
      <xdr:nvSpPr>
        <xdr:cNvPr id="59414" name="Rectangle 25"/>
        <xdr:cNvSpPr>
          <a:spLocks noChangeArrowheads="1"/>
        </xdr:cNvSpPr>
      </xdr:nvSpPr>
      <xdr:spPr bwMode="auto">
        <a:xfrm>
          <a:off x="123825" y="8220075"/>
          <a:ext cx="114300"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48</xdr:row>
      <xdr:rowOff>19050</xdr:rowOff>
    </xdr:from>
    <xdr:to>
      <xdr:col>1</xdr:col>
      <xdr:colOff>152400</xdr:colOff>
      <xdr:row>48</xdr:row>
      <xdr:rowOff>142875</xdr:rowOff>
    </xdr:to>
    <xdr:sp macro="" textlink="">
      <xdr:nvSpPr>
        <xdr:cNvPr id="59415" name="Rectangle 26"/>
        <xdr:cNvSpPr>
          <a:spLocks noChangeArrowheads="1"/>
        </xdr:cNvSpPr>
      </xdr:nvSpPr>
      <xdr:spPr bwMode="auto">
        <a:xfrm>
          <a:off x="123825" y="7896225"/>
          <a:ext cx="114300"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50</xdr:row>
      <xdr:rowOff>19050</xdr:rowOff>
    </xdr:from>
    <xdr:to>
      <xdr:col>1</xdr:col>
      <xdr:colOff>152400</xdr:colOff>
      <xdr:row>50</xdr:row>
      <xdr:rowOff>142875</xdr:rowOff>
    </xdr:to>
    <xdr:sp macro="" textlink="">
      <xdr:nvSpPr>
        <xdr:cNvPr id="59416" name="Rectangle 27"/>
        <xdr:cNvSpPr>
          <a:spLocks noChangeArrowheads="1"/>
        </xdr:cNvSpPr>
      </xdr:nvSpPr>
      <xdr:spPr bwMode="auto">
        <a:xfrm>
          <a:off x="123825" y="8220075"/>
          <a:ext cx="114300"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50</xdr:row>
      <xdr:rowOff>19050</xdr:rowOff>
    </xdr:from>
    <xdr:to>
      <xdr:col>1</xdr:col>
      <xdr:colOff>152400</xdr:colOff>
      <xdr:row>50</xdr:row>
      <xdr:rowOff>142875</xdr:rowOff>
    </xdr:to>
    <xdr:sp macro="" textlink="">
      <xdr:nvSpPr>
        <xdr:cNvPr id="59417" name="Rectangle 28"/>
        <xdr:cNvSpPr>
          <a:spLocks noChangeArrowheads="1"/>
        </xdr:cNvSpPr>
      </xdr:nvSpPr>
      <xdr:spPr bwMode="auto">
        <a:xfrm>
          <a:off x="123825" y="8220075"/>
          <a:ext cx="114300"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52</xdr:row>
      <xdr:rowOff>19050</xdr:rowOff>
    </xdr:from>
    <xdr:to>
      <xdr:col>1</xdr:col>
      <xdr:colOff>152400</xdr:colOff>
      <xdr:row>52</xdr:row>
      <xdr:rowOff>142875</xdr:rowOff>
    </xdr:to>
    <xdr:sp macro="" textlink="">
      <xdr:nvSpPr>
        <xdr:cNvPr id="59418" name="Oval 29"/>
        <xdr:cNvSpPr>
          <a:spLocks noChangeArrowheads="1"/>
        </xdr:cNvSpPr>
      </xdr:nvSpPr>
      <xdr:spPr bwMode="auto">
        <a:xfrm>
          <a:off x="104775" y="85439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44</xdr:row>
      <xdr:rowOff>19050</xdr:rowOff>
    </xdr:from>
    <xdr:to>
      <xdr:col>1</xdr:col>
      <xdr:colOff>152400</xdr:colOff>
      <xdr:row>44</xdr:row>
      <xdr:rowOff>142875</xdr:rowOff>
    </xdr:to>
    <xdr:sp macro="" textlink="">
      <xdr:nvSpPr>
        <xdr:cNvPr id="59419" name="Rectangle 30"/>
        <xdr:cNvSpPr>
          <a:spLocks noChangeArrowheads="1"/>
        </xdr:cNvSpPr>
      </xdr:nvSpPr>
      <xdr:spPr bwMode="auto">
        <a:xfrm>
          <a:off x="123825" y="7248525"/>
          <a:ext cx="114300"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38</xdr:row>
      <xdr:rowOff>19050</xdr:rowOff>
    </xdr:from>
    <xdr:to>
      <xdr:col>1</xdr:col>
      <xdr:colOff>152400</xdr:colOff>
      <xdr:row>38</xdr:row>
      <xdr:rowOff>142875</xdr:rowOff>
    </xdr:to>
    <xdr:sp macro="" textlink="">
      <xdr:nvSpPr>
        <xdr:cNvPr id="59420" name="Oval 31"/>
        <xdr:cNvSpPr>
          <a:spLocks noChangeArrowheads="1"/>
        </xdr:cNvSpPr>
      </xdr:nvSpPr>
      <xdr:spPr bwMode="auto">
        <a:xfrm>
          <a:off x="104775" y="62769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22</xdr:row>
      <xdr:rowOff>19050</xdr:rowOff>
    </xdr:from>
    <xdr:to>
      <xdr:col>1</xdr:col>
      <xdr:colOff>152400</xdr:colOff>
      <xdr:row>22</xdr:row>
      <xdr:rowOff>142875</xdr:rowOff>
    </xdr:to>
    <xdr:sp macro="" textlink="">
      <xdr:nvSpPr>
        <xdr:cNvPr id="59421" name="Rectangle 32"/>
        <xdr:cNvSpPr>
          <a:spLocks noChangeArrowheads="1"/>
        </xdr:cNvSpPr>
      </xdr:nvSpPr>
      <xdr:spPr bwMode="auto">
        <a:xfrm>
          <a:off x="123825" y="3686175"/>
          <a:ext cx="114300"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40</xdr:row>
      <xdr:rowOff>19050</xdr:rowOff>
    </xdr:from>
    <xdr:to>
      <xdr:col>1</xdr:col>
      <xdr:colOff>152400</xdr:colOff>
      <xdr:row>40</xdr:row>
      <xdr:rowOff>142875</xdr:rowOff>
    </xdr:to>
    <xdr:sp macro="" textlink="">
      <xdr:nvSpPr>
        <xdr:cNvPr id="59422" name="Oval 33"/>
        <xdr:cNvSpPr>
          <a:spLocks noChangeArrowheads="1"/>
        </xdr:cNvSpPr>
      </xdr:nvSpPr>
      <xdr:spPr bwMode="auto">
        <a:xfrm>
          <a:off x="104775" y="66008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xdr:colOff>
      <xdr:row>0</xdr:row>
      <xdr:rowOff>95250</xdr:rowOff>
    </xdr:from>
    <xdr:to>
      <xdr:col>6</xdr:col>
      <xdr:colOff>180975</xdr:colOff>
      <xdr:row>1</xdr:row>
      <xdr:rowOff>38100</xdr:rowOff>
    </xdr:to>
    <xdr:pic>
      <xdr:nvPicPr>
        <xdr:cNvPr id="33" name="Picture 32"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0"/>
          <a:ext cx="2105025" cy="4572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19050</xdr:colOff>
          <xdr:row>13</xdr:row>
          <xdr:rowOff>47625</xdr:rowOff>
        </xdr:from>
        <xdr:to>
          <xdr:col>6</xdr:col>
          <xdr:colOff>1095375</xdr:colOff>
          <xdr:row>15</xdr:row>
          <xdr:rowOff>66675</xdr:rowOff>
        </xdr:to>
        <xdr:sp macro="" textlink="">
          <xdr:nvSpPr>
            <xdr:cNvPr id="101383" name="Button 7" hidden="1">
              <a:extLst>
                <a:ext uri="{63B3BB69-23CF-44E3-9099-C40C66FF867C}">
                  <a14:compatExt spid="_x0000_s10138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FMEA Rankings</a:t>
              </a:r>
            </a:p>
          </xdr:txBody>
        </xdr:sp>
        <xdr:clientData fPrintsWithSheet="0"/>
      </xdr:twoCellAnchor>
    </mc:Choice>
    <mc:Fallback/>
  </mc:AlternateContent>
  <xdr:twoCellAnchor editAs="oneCell">
    <xdr:from>
      <xdr:col>0</xdr:col>
      <xdr:colOff>104775</xdr:colOff>
      <xdr:row>0</xdr:row>
      <xdr:rowOff>66675</xdr:rowOff>
    </xdr:from>
    <xdr:to>
      <xdr:col>2</xdr:col>
      <xdr:colOff>371475</xdr:colOff>
      <xdr:row>3</xdr:row>
      <xdr:rowOff>38100</xdr:rowOff>
    </xdr:to>
    <xdr:pic>
      <xdr:nvPicPr>
        <xdr:cNvPr id="4" name="Picture 3"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66675"/>
          <a:ext cx="2105025" cy="4572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4</xdr:row>
          <xdr:rowOff>180975</xdr:rowOff>
        </xdr:from>
        <xdr:to>
          <xdr:col>1</xdr:col>
          <xdr:colOff>571500</xdr:colOff>
          <xdr:row>5</xdr:row>
          <xdr:rowOff>209550</xdr:rowOff>
        </xdr:to>
        <xdr:sp macro="" textlink="">
          <xdr:nvSpPr>
            <xdr:cNvPr id="62467" name="Check Box 3" hidden="1">
              <a:extLst>
                <a:ext uri="{63B3BB69-23CF-44E3-9099-C40C66FF867C}">
                  <a14:compatExt spid="_x0000_s624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Prototype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4</xdr:row>
          <xdr:rowOff>180975</xdr:rowOff>
        </xdr:from>
        <xdr:to>
          <xdr:col>3</xdr:col>
          <xdr:colOff>0</xdr:colOff>
          <xdr:row>5</xdr:row>
          <xdr:rowOff>209550</xdr:rowOff>
        </xdr:to>
        <xdr:sp macro="" textlink="">
          <xdr:nvSpPr>
            <xdr:cNvPr id="62468" name="Check Box 4" hidden="1">
              <a:extLst>
                <a:ext uri="{63B3BB69-23CF-44E3-9099-C40C66FF867C}">
                  <a14:compatExt spid="_x0000_s624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Pre-Launch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4</xdr:row>
          <xdr:rowOff>180975</xdr:rowOff>
        </xdr:from>
        <xdr:to>
          <xdr:col>5</xdr:col>
          <xdr:colOff>238125</xdr:colOff>
          <xdr:row>5</xdr:row>
          <xdr:rowOff>209550</xdr:rowOff>
        </xdr:to>
        <xdr:sp macro="" textlink="">
          <xdr:nvSpPr>
            <xdr:cNvPr id="62469" name="Check Box 5" hidden="1">
              <a:extLst>
                <a:ext uri="{63B3BB69-23CF-44E3-9099-C40C66FF867C}">
                  <a14:compatExt spid="_x0000_s624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Production</a:t>
              </a:r>
            </a:p>
          </xdr:txBody>
        </xdr:sp>
        <xdr:clientData fLocksWithSheet="0"/>
      </xdr:twoCellAnchor>
    </mc:Choice>
    <mc:Fallback/>
  </mc:AlternateContent>
  <xdr:twoCellAnchor editAs="oneCell">
    <xdr:from>
      <xdr:col>0</xdr:col>
      <xdr:colOff>76200</xdr:colOff>
      <xdr:row>0</xdr:row>
      <xdr:rowOff>95250</xdr:rowOff>
    </xdr:from>
    <xdr:to>
      <xdr:col>3</xdr:col>
      <xdr:colOff>142875</xdr:colOff>
      <xdr:row>3</xdr:row>
      <xdr:rowOff>66675</xdr:rowOff>
    </xdr:to>
    <xdr:pic>
      <xdr:nvPicPr>
        <xdr:cNvPr id="6" name="Picture 5"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95250"/>
          <a:ext cx="2105025" cy="4572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7</xdr:col>
      <xdr:colOff>276225</xdr:colOff>
      <xdr:row>11</xdr:row>
      <xdr:rowOff>352425</xdr:rowOff>
    </xdr:from>
    <xdr:to>
      <xdr:col>7</xdr:col>
      <xdr:colOff>276225</xdr:colOff>
      <xdr:row>11</xdr:row>
      <xdr:rowOff>352425</xdr:rowOff>
    </xdr:to>
    <xdr:sp macro="" textlink="">
      <xdr:nvSpPr>
        <xdr:cNvPr id="104449" name="Line 1"/>
        <xdr:cNvSpPr>
          <a:spLocks noChangeShapeType="1"/>
        </xdr:cNvSpPr>
      </xdr:nvSpPr>
      <xdr:spPr bwMode="auto">
        <a:xfrm>
          <a:off x="4581525" y="259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276225</xdr:colOff>
      <xdr:row>10</xdr:row>
      <xdr:rowOff>352425</xdr:rowOff>
    </xdr:from>
    <xdr:to>
      <xdr:col>7</xdr:col>
      <xdr:colOff>276225</xdr:colOff>
      <xdr:row>10</xdr:row>
      <xdr:rowOff>352425</xdr:rowOff>
    </xdr:to>
    <xdr:sp macro="" textlink="">
      <xdr:nvSpPr>
        <xdr:cNvPr id="104450" name="Line 2"/>
        <xdr:cNvSpPr>
          <a:spLocks noChangeShapeType="1"/>
        </xdr:cNvSpPr>
      </xdr:nvSpPr>
      <xdr:spPr bwMode="auto">
        <a:xfrm>
          <a:off x="4581525" y="242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76200</xdr:colOff>
      <xdr:row>0</xdr:row>
      <xdr:rowOff>85725</xdr:rowOff>
    </xdr:from>
    <xdr:to>
      <xdr:col>3</xdr:col>
      <xdr:colOff>323850</xdr:colOff>
      <xdr:row>1</xdr:row>
      <xdr:rowOff>314325</xdr:rowOff>
    </xdr:to>
    <xdr:pic>
      <xdr:nvPicPr>
        <xdr:cNvPr id="5" name="Picture 4"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5725"/>
          <a:ext cx="2105025" cy="4572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46</xdr:row>
      <xdr:rowOff>0</xdr:rowOff>
    </xdr:from>
    <xdr:to>
      <xdr:col>1</xdr:col>
      <xdr:colOff>76200</xdr:colOff>
      <xdr:row>46</xdr:row>
      <xdr:rowOff>0</xdr:rowOff>
    </xdr:to>
    <xdr:sp macro="" textlink="">
      <xdr:nvSpPr>
        <xdr:cNvPr id="105473" name="Line 1"/>
        <xdr:cNvSpPr>
          <a:spLocks noChangeShapeType="1"/>
        </xdr:cNvSpPr>
      </xdr:nvSpPr>
      <xdr:spPr bwMode="auto">
        <a:xfrm>
          <a:off x="66675" y="759142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66</xdr:row>
      <xdr:rowOff>0</xdr:rowOff>
    </xdr:from>
    <xdr:to>
      <xdr:col>2</xdr:col>
      <xdr:colOff>76200</xdr:colOff>
      <xdr:row>66</xdr:row>
      <xdr:rowOff>0</xdr:rowOff>
    </xdr:to>
    <xdr:sp macro="" textlink="">
      <xdr:nvSpPr>
        <xdr:cNvPr id="105474" name="Line 2"/>
        <xdr:cNvSpPr>
          <a:spLocks noChangeShapeType="1"/>
        </xdr:cNvSpPr>
      </xdr:nvSpPr>
      <xdr:spPr bwMode="auto">
        <a:xfrm>
          <a:off x="942975" y="1122997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66</xdr:row>
      <xdr:rowOff>0</xdr:rowOff>
    </xdr:from>
    <xdr:to>
      <xdr:col>2</xdr:col>
      <xdr:colOff>76200</xdr:colOff>
      <xdr:row>66</xdr:row>
      <xdr:rowOff>0</xdr:rowOff>
    </xdr:to>
    <xdr:sp macro="" textlink="">
      <xdr:nvSpPr>
        <xdr:cNvPr id="105475" name="Line 3"/>
        <xdr:cNvSpPr>
          <a:spLocks noChangeShapeType="1"/>
        </xdr:cNvSpPr>
      </xdr:nvSpPr>
      <xdr:spPr bwMode="auto">
        <a:xfrm>
          <a:off x="942975" y="1122997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46</xdr:row>
      <xdr:rowOff>38100</xdr:rowOff>
    </xdr:from>
    <xdr:to>
      <xdr:col>1</xdr:col>
      <xdr:colOff>66675</xdr:colOff>
      <xdr:row>46</xdr:row>
      <xdr:rowOff>38100</xdr:rowOff>
    </xdr:to>
    <xdr:sp macro="" textlink="">
      <xdr:nvSpPr>
        <xdr:cNvPr id="105476" name="Line 4"/>
        <xdr:cNvSpPr>
          <a:spLocks noChangeShapeType="1"/>
        </xdr:cNvSpPr>
      </xdr:nvSpPr>
      <xdr:spPr bwMode="auto">
        <a:xfrm flipH="1">
          <a:off x="76200" y="7629525"/>
          <a:ext cx="47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600075</xdr:colOff>
      <xdr:row>10</xdr:row>
      <xdr:rowOff>142875</xdr:rowOff>
    </xdr:from>
    <xdr:to>
      <xdr:col>105</xdr:col>
      <xdr:colOff>161925</xdr:colOff>
      <xdr:row>26</xdr:row>
      <xdr:rowOff>0</xdr:rowOff>
    </xdr:to>
    <xdr:graphicFrame macro="">
      <xdr:nvGraphicFramePr>
        <xdr:cNvPr id="10547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647700</xdr:colOff>
      <xdr:row>30</xdr:row>
      <xdr:rowOff>152400</xdr:rowOff>
    </xdr:from>
    <xdr:to>
      <xdr:col>105</xdr:col>
      <xdr:colOff>152400</xdr:colOff>
      <xdr:row>40</xdr:row>
      <xdr:rowOff>114300</xdr:rowOff>
    </xdr:to>
    <xdr:graphicFrame macro="">
      <xdr:nvGraphicFramePr>
        <xdr:cNvPr id="1054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46</xdr:row>
      <xdr:rowOff>9525</xdr:rowOff>
    </xdr:from>
    <xdr:to>
      <xdr:col>6</xdr:col>
      <xdr:colOff>0</xdr:colOff>
      <xdr:row>47</xdr:row>
      <xdr:rowOff>0</xdr:rowOff>
    </xdr:to>
    <xdr:sp macro="" textlink="">
      <xdr:nvSpPr>
        <xdr:cNvPr id="105479" name="Line 7"/>
        <xdr:cNvSpPr>
          <a:spLocks noChangeShapeType="1"/>
        </xdr:cNvSpPr>
      </xdr:nvSpPr>
      <xdr:spPr bwMode="auto">
        <a:xfrm flipH="1">
          <a:off x="2600325" y="7600950"/>
          <a:ext cx="4572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238125</xdr:colOff>
      <xdr:row>66</xdr:row>
      <xdr:rowOff>0</xdr:rowOff>
    </xdr:from>
    <xdr:to>
      <xdr:col>29</xdr:col>
      <xdr:colOff>0</xdr:colOff>
      <xdr:row>66</xdr:row>
      <xdr:rowOff>0</xdr:rowOff>
    </xdr:to>
    <xdr:graphicFrame macro="">
      <xdr:nvGraphicFramePr>
        <xdr:cNvPr id="1054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200025</xdr:colOff>
      <xdr:row>49</xdr:row>
      <xdr:rowOff>28575</xdr:rowOff>
    </xdr:from>
    <xdr:to>
      <xdr:col>37</xdr:col>
      <xdr:colOff>38100</xdr:colOff>
      <xdr:row>66</xdr:row>
      <xdr:rowOff>123825</xdr:rowOff>
    </xdr:to>
    <xdr:graphicFrame macro="">
      <xdr:nvGraphicFramePr>
        <xdr:cNvPr id="1054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9525</xdr:colOff>
      <xdr:row>66</xdr:row>
      <xdr:rowOff>0</xdr:rowOff>
    </xdr:from>
    <xdr:to>
      <xdr:col>4</xdr:col>
      <xdr:colOff>76200</xdr:colOff>
      <xdr:row>66</xdr:row>
      <xdr:rowOff>0</xdr:rowOff>
    </xdr:to>
    <xdr:sp macro="" textlink="">
      <xdr:nvSpPr>
        <xdr:cNvPr id="105494" name="Line 22"/>
        <xdr:cNvSpPr>
          <a:spLocks noChangeShapeType="1"/>
        </xdr:cNvSpPr>
      </xdr:nvSpPr>
      <xdr:spPr bwMode="auto">
        <a:xfrm>
          <a:off x="1828800" y="1122997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66</xdr:row>
      <xdr:rowOff>0</xdr:rowOff>
    </xdr:from>
    <xdr:to>
      <xdr:col>4</xdr:col>
      <xdr:colOff>76200</xdr:colOff>
      <xdr:row>66</xdr:row>
      <xdr:rowOff>0</xdr:rowOff>
    </xdr:to>
    <xdr:sp macro="" textlink="">
      <xdr:nvSpPr>
        <xdr:cNvPr id="105495" name="Line 23"/>
        <xdr:cNvSpPr>
          <a:spLocks noChangeShapeType="1"/>
        </xdr:cNvSpPr>
      </xdr:nvSpPr>
      <xdr:spPr bwMode="auto">
        <a:xfrm>
          <a:off x="1828800" y="1122997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266700</xdr:colOff>
          <xdr:row>1</xdr:row>
          <xdr:rowOff>0</xdr:rowOff>
        </xdr:from>
        <xdr:to>
          <xdr:col>17</xdr:col>
          <xdr:colOff>466725</xdr:colOff>
          <xdr:row>2</xdr:row>
          <xdr:rowOff>133350</xdr:rowOff>
        </xdr:to>
        <xdr:sp macro="" textlink="">
          <xdr:nvSpPr>
            <xdr:cNvPr id="102407" name="Button 7" hidden="1">
              <a:extLst>
                <a:ext uri="{63B3BB69-23CF-44E3-9099-C40C66FF867C}">
                  <a14:compatExt spid="_x0000_s10240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600" b="1" i="0" u="none" strike="noStrike" baseline="0">
                  <a:solidFill>
                    <a:srgbClr val="000000"/>
                  </a:solidFill>
                  <a:latin typeface="Arial"/>
                  <a:cs typeface="Arial"/>
                </a:rPr>
                <a:t>Back</a:t>
              </a:r>
            </a:p>
          </xdr:txBody>
        </xdr:sp>
        <xdr:clientData fPrintsWithSheet="0"/>
      </xdr:twoCellAnchor>
    </mc:Choice>
    <mc:Fallback/>
  </mc:AlternateContent>
  <xdr:twoCellAnchor editAs="oneCell">
    <xdr:from>
      <xdr:col>0</xdr:col>
      <xdr:colOff>111125</xdr:colOff>
      <xdr:row>0</xdr:row>
      <xdr:rowOff>142875</xdr:rowOff>
    </xdr:from>
    <xdr:to>
      <xdr:col>1</xdr:col>
      <xdr:colOff>390525</xdr:colOff>
      <xdr:row>3</xdr:row>
      <xdr:rowOff>123825</xdr:rowOff>
    </xdr:to>
    <xdr:pic>
      <xdr:nvPicPr>
        <xdr:cNvPr id="6" name="Picture 5"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142875"/>
          <a:ext cx="2105025" cy="4572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457200</xdr:colOff>
          <xdr:row>1</xdr:row>
          <xdr:rowOff>19050</xdr:rowOff>
        </xdr:from>
        <xdr:to>
          <xdr:col>18</xdr:col>
          <xdr:colOff>47625</xdr:colOff>
          <xdr:row>2</xdr:row>
          <xdr:rowOff>152400</xdr:rowOff>
        </xdr:to>
        <xdr:sp macro="" textlink="">
          <xdr:nvSpPr>
            <xdr:cNvPr id="103431" name="Button 7" hidden="1">
              <a:extLst>
                <a:ext uri="{63B3BB69-23CF-44E3-9099-C40C66FF867C}">
                  <a14:compatExt spid="_x0000_s10343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600" b="1" i="0" u="none" strike="noStrike" baseline="0">
                  <a:solidFill>
                    <a:srgbClr val="000000"/>
                  </a:solidFill>
                  <a:latin typeface="Arial"/>
                  <a:cs typeface="Arial"/>
                </a:rPr>
                <a:t>Back</a:t>
              </a:r>
            </a:p>
          </xdr:txBody>
        </xdr:sp>
        <xdr:clientData fPrintsWithSheet="0"/>
      </xdr:twoCellAnchor>
    </mc:Choice>
    <mc:Fallback/>
  </mc:AlternateContent>
  <xdr:twoCellAnchor editAs="oneCell">
    <xdr:from>
      <xdr:col>0</xdr:col>
      <xdr:colOff>79375</xdr:colOff>
      <xdr:row>0</xdr:row>
      <xdr:rowOff>127000</xdr:rowOff>
    </xdr:from>
    <xdr:to>
      <xdr:col>2</xdr:col>
      <xdr:colOff>215900</xdr:colOff>
      <xdr:row>3</xdr:row>
      <xdr:rowOff>107950</xdr:rowOff>
    </xdr:to>
    <xdr:pic>
      <xdr:nvPicPr>
        <xdr:cNvPr id="6" name="Picture 5"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75" y="127000"/>
          <a:ext cx="2105025" cy="4572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0</xdr:row>
      <xdr:rowOff>114300</xdr:rowOff>
    </xdr:from>
    <xdr:to>
      <xdr:col>4</xdr:col>
      <xdr:colOff>323850</xdr:colOff>
      <xdr:row>2</xdr:row>
      <xdr:rowOff>180975</xdr:rowOff>
    </xdr:to>
    <xdr:pic>
      <xdr:nvPicPr>
        <xdr:cNvPr id="3" name="Picture 2"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14300"/>
          <a:ext cx="2105025" cy="457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133351</xdr:colOff>
      <xdr:row>0</xdr:row>
      <xdr:rowOff>85725</xdr:rowOff>
    </xdr:from>
    <xdr:to>
      <xdr:col>2</xdr:col>
      <xdr:colOff>2117322</xdr:colOff>
      <xdr:row>1</xdr:row>
      <xdr:rowOff>291465</xdr:rowOff>
    </xdr:to>
    <xdr:pic>
      <xdr:nvPicPr>
        <xdr:cNvPr id="3" name="Picture 2"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6" y="85725"/>
          <a:ext cx="2593571" cy="54864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57150</xdr:colOff>
      <xdr:row>0</xdr:row>
      <xdr:rowOff>114300</xdr:rowOff>
    </xdr:from>
    <xdr:to>
      <xdr:col>3</xdr:col>
      <xdr:colOff>333375</xdr:colOff>
      <xdr:row>3</xdr:row>
      <xdr:rowOff>85725</xdr:rowOff>
    </xdr:to>
    <xdr:pic>
      <xdr:nvPicPr>
        <xdr:cNvPr id="3" name="Picture 2"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14300"/>
          <a:ext cx="2105025" cy="45720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4</xdr:col>
      <xdr:colOff>409575</xdr:colOff>
      <xdr:row>3</xdr:row>
      <xdr:rowOff>0</xdr:rowOff>
    </xdr:to>
    <xdr:pic>
      <xdr:nvPicPr>
        <xdr:cNvPr id="3" name="Picture 2"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2105025" cy="45720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5</xdr:col>
      <xdr:colOff>104775</xdr:colOff>
      <xdr:row>3</xdr:row>
      <xdr:rowOff>76200</xdr:rowOff>
    </xdr:to>
    <xdr:pic>
      <xdr:nvPicPr>
        <xdr:cNvPr id="4" name="Picture 3"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04775"/>
          <a:ext cx="2105025" cy="45720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5</xdr:col>
      <xdr:colOff>85725</xdr:colOff>
      <xdr:row>3</xdr:row>
      <xdr:rowOff>66675</xdr:rowOff>
    </xdr:to>
    <xdr:pic>
      <xdr:nvPicPr>
        <xdr:cNvPr id="4" name="Picture 3"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0"/>
          <a:ext cx="2105025" cy="45720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5</xdr:col>
      <xdr:colOff>114300</xdr:colOff>
      <xdr:row>3</xdr:row>
      <xdr:rowOff>66675</xdr:rowOff>
    </xdr:to>
    <xdr:pic>
      <xdr:nvPicPr>
        <xdr:cNvPr id="3" name="Picture 2"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5250"/>
          <a:ext cx="2105025" cy="45720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85725</xdr:colOff>
      <xdr:row>33</xdr:row>
      <xdr:rowOff>0</xdr:rowOff>
    </xdr:from>
    <xdr:to>
      <xdr:col>1</xdr:col>
      <xdr:colOff>161925</xdr:colOff>
      <xdr:row>33</xdr:row>
      <xdr:rowOff>0</xdr:rowOff>
    </xdr:to>
    <xdr:sp macro="" textlink="">
      <xdr:nvSpPr>
        <xdr:cNvPr id="74753" name="Line 1"/>
        <xdr:cNvSpPr>
          <a:spLocks noChangeShapeType="1"/>
        </xdr:cNvSpPr>
      </xdr:nvSpPr>
      <xdr:spPr bwMode="auto">
        <a:xfrm>
          <a:off x="590550" y="6581775"/>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33</xdr:row>
      <xdr:rowOff>0</xdr:rowOff>
    </xdr:from>
    <xdr:to>
      <xdr:col>1</xdr:col>
      <xdr:colOff>161925</xdr:colOff>
      <xdr:row>33</xdr:row>
      <xdr:rowOff>0</xdr:rowOff>
    </xdr:to>
    <xdr:sp macro="" textlink="">
      <xdr:nvSpPr>
        <xdr:cNvPr id="74754" name="Line 2"/>
        <xdr:cNvSpPr>
          <a:spLocks noChangeShapeType="1"/>
        </xdr:cNvSpPr>
      </xdr:nvSpPr>
      <xdr:spPr bwMode="auto">
        <a:xfrm>
          <a:off x="590550" y="6581775"/>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33</xdr:row>
      <xdr:rowOff>0</xdr:rowOff>
    </xdr:from>
    <xdr:to>
      <xdr:col>1</xdr:col>
      <xdr:colOff>161925</xdr:colOff>
      <xdr:row>33</xdr:row>
      <xdr:rowOff>0</xdr:rowOff>
    </xdr:to>
    <xdr:sp macro="" textlink="">
      <xdr:nvSpPr>
        <xdr:cNvPr id="74755" name="Line 3"/>
        <xdr:cNvSpPr>
          <a:spLocks noChangeShapeType="1"/>
        </xdr:cNvSpPr>
      </xdr:nvSpPr>
      <xdr:spPr bwMode="auto">
        <a:xfrm>
          <a:off x="590550" y="6581775"/>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33</xdr:row>
      <xdr:rowOff>0</xdr:rowOff>
    </xdr:from>
    <xdr:to>
      <xdr:col>1</xdr:col>
      <xdr:colOff>161925</xdr:colOff>
      <xdr:row>33</xdr:row>
      <xdr:rowOff>0</xdr:rowOff>
    </xdr:to>
    <xdr:sp macro="" textlink="">
      <xdr:nvSpPr>
        <xdr:cNvPr id="74756" name="Line 4"/>
        <xdr:cNvSpPr>
          <a:spLocks noChangeShapeType="1"/>
        </xdr:cNvSpPr>
      </xdr:nvSpPr>
      <xdr:spPr bwMode="auto">
        <a:xfrm>
          <a:off x="590550" y="6581775"/>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142875</xdr:colOff>
      <xdr:row>38</xdr:row>
      <xdr:rowOff>38100</xdr:rowOff>
    </xdr:from>
    <xdr:to>
      <xdr:col>13</xdr:col>
      <xdr:colOff>428625</xdr:colOff>
      <xdr:row>56</xdr:row>
      <xdr:rowOff>95250</xdr:rowOff>
    </xdr:to>
    <xdr:graphicFrame macro="">
      <xdr:nvGraphicFramePr>
        <xdr:cNvPr id="747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60</xdr:row>
      <xdr:rowOff>66675</xdr:rowOff>
    </xdr:from>
    <xdr:to>
      <xdr:col>13</xdr:col>
      <xdr:colOff>428625</xdr:colOff>
      <xdr:row>78</xdr:row>
      <xdr:rowOff>85725</xdr:rowOff>
    </xdr:to>
    <xdr:graphicFrame macro="">
      <xdr:nvGraphicFramePr>
        <xdr:cNvPr id="747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81</xdr:row>
      <xdr:rowOff>66675</xdr:rowOff>
    </xdr:from>
    <xdr:to>
      <xdr:col>13</xdr:col>
      <xdr:colOff>457200</xdr:colOff>
      <xdr:row>99</xdr:row>
      <xdr:rowOff>133350</xdr:rowOff>
    </xdr:to>
    <xdr:graphicFrame macro="">
      <xdr:nvGraphicFramePr>
        <xdr:cNvPr id="747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103</xdr:row>
      <xdr:rowOff>38100</xdr:rowOff>
    </xdr:from>
    <xdr:to>
      <xdr:col>13</xdr:col>
      <xdr:colOff>428625</xdr:colOff>
      <xdr:row>121</xdr:row>
      <xdr:rowOff>114300</xdr:rowOff>
    </xdr:to>
    <xdr:graphicFrame macro="">
      <xdr:nvGraphicFramePr>
        <xdr:cNvPr id="747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124</xdr:row>
      <xdr:rowOff>85725</xdr:rowOff>
    </xdr:from>
    <xdr:to>
      <xdr:col>13</xdr:col>
      <xdr:colOff>428625</xdr:colOff>
      <xdr:row>151</xdr:row>
      <xdr:rowOff>76200</xdr:rowOff>
    </xdr:to>
    <xdr:graphicFrame macro="">
      <xdr:nvGraphicFramePr>
        <xdr:cNvPr id="7476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85725</xdr:colOff>
      <xdr:row>159</xdr:row>
      <xdr:rowOff>66675</xdr:rowOff>
    </xdr:from>
    <xdr:to>
      <xdr:col>13</xdr:col>
      <xdr:colOff>447675</xdr:colOff>
      <xdr:row>177</xdr:row>
      <xdr:rowOff>85725</xdr:rowOff>
    </xdr:to>
    <xdr:graphicFrame macro="">
      <xdr:nvGraphicFramePr>
        <xdr:cNvPr id="7476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85725</xdr:colOff>
      <xdr:row>177</xdr:row>
      <xdr:rowOff>133350</xdr:rowOff>
    </xdr:from>
    <xdr:to>
      <xdr:col>13</xdr:col>
      <xdr:colOff>457200</xdr:colOff>
      <xdr:row>195</xdr:row>
      <xdr:rowOff>133350</xdr:rowOff>
    </xdr:to>
    <xdr:graphicFrame macro="">
      <xdr:nvGraphicFramePr>
        <xdr:cNvPr id="7476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76200</xdr:colOff>
      <xdr:row>202</xdr:row>
      <xdr:rowOff>57150</xdr:rowOff>
    </xdr:from>
    <xdr:to>
      <xdr:col>13</xdr:col>
      <xdr:colOff>466725</xdr:colOff>
      <xdr:row>215</xdr:row>
      <xdr:rowOff>0</xdr:rowOff>
    </xdr:to>
    <xdr:graphicFrame macro="">
      <xdr:nvGraphicFramePr>
        <xdr:cNvPr id="74764"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215</xdr:row>
      <xdr:rowOff>38100</xdr:rowOff>
    </xdr:from>
    <xdr:to>
      <xdr:col>13</xdr:col>
      <xdr:colOff>466725</xdr:colOff>
      <xdr:row>228</xdr:row>
      <xdr:rowOff>19050</xdr:rowOff>
    </xdr:to>
    <xdr:graphicFrame macro="">
      <xdr:nvGraphicFramePr>
        <xdr:cNvPr id="74765"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57150</xdr:colOff>
      <xdr:row>228</xdr:row>
      <xdr:rowOff>47625</xdr:rowOff>
    </xdr:from>
    <xdr:to>
      <xdr:col>13</xdr:col>
      <xdr:colOff>466725</xdr:colOff>
      <xdr:row>241</xdr:row>
      <xdr:rowOff>28575</xdr:rowOff>
    </xdr:to>
    <xdr:graphicFrame macro="">
      <xdr:nvGraphicFramePr>
        <xdr:cNvPr id="74766"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104775</xdr:colOff>
      <xdr:row>245</xdr:row>
      <xdr:rowOff>66675</xdr:rowOff>
    </xdr:from>
    <xdr:to>
      <xdr:col>13</xdr:col>
      <xdr:colOff>476250</xdr:colOff>
      <xdr:row>263</xdr:row>
      <xdr:rowOff>95250</xdr:rowOff>
    </xdr:to>
    <xdr:graphicFrame macro="">
      <xdr:nvGraphicFramePr>
        <xdr:cNvPr id="7476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85725</xdr:colOff>
      <xdr:row>264</xdr:row>
      <xdr:rowOff>57150</xdr:rowOff>
    </xdr:from>
    <xdr:to>
      <xdr:col>13</xdr:col>
      <xdr:colOff>466725</xdr:colOff>
      <xdr:row>282</xdr:row>
      <xdr:rowOff>95250</xdr:rowOff>
    </xdr:to>
    <xdr:graphicFrame macro="">
      <xdr:nvGraphicFramePr>
        <xdr:cNvPr id="7476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85725</xdr:colOff>
      <xdr:row>288</xdr:row>
      <xdr:rowOff>57150</xdr:rowOff>
    </xdr:from>
    <xdr:to>
      <xdr:col>13</xdr:col>
      <xdr:colOff>495300</xdr:colOff>
      <xdr:row>301</xdr:row>
      <xdr:rowOff>9525</xdr:rowOff>
    </xdr:to>
    <xdr:graphicFrame macro="">
      <xdr:nvGraphicFramePr>
        <xdr:cNvPr id="74769"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76200</xdr:colOff>
      <xdr:row>301</xdr:row>
      <xdr:rowOff>57150</xdr:rowOff>
    </xdr:from>
    <xdr:to>
      <xdr:col>13</xdr:col>
      <xdr:colOff>495300</xdr:colOff>
      <xdr:row>314</xdr:row>
      <xdr:rowOff>76200</xdr:rowOff>
    </xdr:to>
    <xdr:graphicFrame macro="">
      <xdr:nvGraphicFramePr>
        <xdr:cNvPr id="74770"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66675</xdr:colOff>
      <xdr:row>315</xdr:row>
      <xdr:rowOff>0</xdr:rowOff>
    </xdr:from>
    <xdr:to>
      <xdr:col>13</xdr:col>
      <xdr:colOff>485775</xdr:colOff>
      <xdr:row>327</xdr:row>
      <xdr:rowOff>114300</xdr:rowOff>
    </xdr:to>
    <xdr:graphicFrame macro="">
      <xdr:nvGraphicFramePr>
        <xdr:cNvPr id="74771"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66675</xdr:colOff>
      <xdr:row>331</xdr:row>
      <xdr:rowOff>66675</xdr:rowOff>
    </xdr:from>
    <xdr:to>
      <xdr:col>13</xdr:col>
      <xdr:colOff>514350</xdr:colOff>
      <xdr:row>358</xdr:row>
      <xdr:rowOff>0</xdr:rowOff>
    </xdr:to>
    <xdr:graphicFrame macro="">
      <xdr:nvGraphicFramePr>
        <xdr:cNvPr id="74772"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76200</xdr:colOff>
      <xdr:row>34</xdr:row>
      <xdr:rowOff>28575</xdr:rowOff>
    </xdr:from>
    <xdr:to>
      <xdr:col>1</xdr:col>
      <xdr:colOff>152400</xdr:colOff>
      <xdr:row>34</xdr:row>
      <xdr:rowOff>28575</xdr:rowOff>
    </xdr:to>
    <xdr:sp macro="" textlink="">
      <xdr:nvSpPr>
        <xdr:cNvPr id="74773" name="Line 32"/>
        <xdr:cNvSpPr>
          <a:spLocks noChangeShapeType="1"/>
        </xdr:cNvSpPr>
      </xdr:nvSpPr>
      <xdr:spPr bwMode="auto">
        <a:xfrm>
          <a:off x="581025" y="6800850"/>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367</xdr:row>
      <xdr:rowOff>66675</xdr:rowOff>
    </xdr:from>
    <xdr:to>
      <xdr:col>13</xdr:col>
      <xdr:colOff>561975</xdr:colOff>
      <xdr:row>387</xdr:row>
      <xdr:rowOff>142875</xdr:rowOff>
    </xdr:to>
    <xdr:graphicFrame macro="">
      <xdr:nvGraphicFramePr>
        <xdr:cNvPr id="7477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85725</xdr:colOff>
      <xdr:row>389</xdr:row>
      <xdr:rowOff>19050</xdr:rowOff>
    </xdr:from>
    <xdr:to>
      <xdr:col>13</xdr:col>
      <xdr:colOff>552450</xdr:colOff>
      <xdr:row>409</xdr:row>
      <xdr:rowOff>104775</xdr:rowOff>
    </xdr:to>
    <xdr:graphicFrame macro="">
      <xdr:nvGraphicFramePr>
        <xdr:cNvPr id="7477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57150</xdr:colOff>
      <xdr:row>411</xdr:row>
      <xdr:rowOff>76200</xdr:rowOff>
    </xdr:from>
    <xdr:to>
      <xdr:col>13</xdr:col>
      <xdr:colOff>533400</xdr:colOff>
      <xdr:row>432</xdr:row>
      <xdr:rowOff>9525</xdr:rowOff>
    </xdr:to>
    <xdr:graphicFrame macro="">
      <xdr:nvGraphicFramePr>
        <xdr:cNvPr id="7477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0</xdr:col>
      <xdr:colOff>47625</xdr:colOff>
      <xdr:row>0</xdr:row>
      <xdr:rowOff>95250</xdr:rowOff>
    </xdr:from>
    <xdr:to>
      <xdr:col>5</xdr:col>
      <xdr:colOff>57150</xdr:colOff>
      <xdr:row>3</xdr:row>
      <xdr:rowOff>66675</xdr:rowOff>
    </xdr:to>
    <xdr:pic>
      <xdr:nvPicPr>
        <xdr:cNvPr id="27" name="Picture 26" descr="AAR_DIR_MobilitySystems"/>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7625" y="95250"/>
          <a:ext cx="2105025" cy="45720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95250</xdr:colOff>
      <xdr:row>61</xdr:row>
      <xdr:rowOff>161925</xdr:rowOff>
    </xdr:from>
    <xdr:to>
      <xdr:col>1</xdr:col>
      <xdr:colOff>314325</xdr:colOff>
      <xdr:row>61</xdr:row>
      <xdr:rowOff>161925</xdr:rowOff>
    </xdr:to>
    <xdr:sp macro="" textlink="">
      <xdr:nvSpPr>
        <xdr:cNvPr id="95233" name="Line 2"/>
        <xdr:cNvSpPr>
          <a:spLocks noChangeShapeType="1"/>
        </xdr:cNvSpPr>
      </xdr:nvSpPr>
      <xdr:spPr bwMode="auto">
        <a:xfrm flipV="1">
          <a:off x="247650" y="1113472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76200</xdr:colOff>
      <xdr:row>12</xdr:row>
      <xdr:rowOff>85725</xdr:rowOff>
    </xdr:from>
    <xdr:to>
      <xdr:col>31</xdr:col>
      <xdr:colOff>152400</xdr:colOff>
      <xdr:row>31</xdr:row>
      <xdr:rowOff>85725</xdr:rowOff>
    </xdr:to>
    <xdr:graphicFrame macro="">
      <xdr:nvGraphicFramePr>
        <xdr:cNvPr id="9523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33</xdr:row>
      <xdr:rowOff>76200</xdr:rowOff>
    </xdr:from>
    <xdr:to>
      <xdr:col>31</xdr:col>
      <xdr:colOff>123825</xdr:colOff>
      <xdr:row>52</xdr:row>
      <xdr:rowOff>76200</xdr:rowOff>
    </xdr:to>
    <xdr:graphicFrame macro="">
      <xdr:nvGraphicFramePr>
        <xdr:cNvPr id="952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0</xdr:row>
      <xdr:rowOff>76200</xdr:rowOff>
    </xdr:from>
    <xdr:to>
      <xdr:col>8</xdr:col>
      <xdr:colOff>133350</xdr:colOff>
      <xdr:row>3</xdr:row>
      <xdr:rowOff>47625</xdr:rowOff>
    </xdr:to>
    <xdr:pic>
      <xdr:nvPicPr>
        <xdr:cNvPr id="6" name="Picture 5" descr="AAR_DIR_MobilitySystems"/>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725" y="76200"/>
          <a:ext cx="2105025" cy="4572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95250</xdr:colOff>
      <xdr:row>48</xdr:row>
      <xdr:rowOff>0</xdr:rowOff>
    </xdr:from>
    <xdr:to>
      <xdr:col>1</xdr:col>
      <xdr:colOff>314325</xdr:colOff>
      <xdr:row>48</xdr:row>
      <xdr:rowOff>0</xdr:rowOff>
    </xdr:to>
    <xdr:sp macro="" textlink="">
      <xdr:nvSpPr>
        <xdr:cNvPr id="98305" name="Line 1"/>
        <xdr:cNvSpPr>
          <a:spLocks noChangeShapeType="1"/>
        </xdr:cNvSpPr>
      </xdr:nvSpPr>
      <xdr:spPr bwMode="auto">
        <a:xfrm flipV="1">
          <a:off x="247650" y="808672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76200</xdr:colOff>
      <xdr:row>13</xdr:row>
      <xdr:rowOff>85725</xdr:rowOff>
    </xdr:from>
    <xdr:to>
      <xdr:col>26</xdr:col>
      <xdr:colOff>152400</xdr:colOff>
      <xdr:row>30</xdr:row>
      <xdr:rowOff>0</xdr:rowOff>
    </xdr:to>
    <xdr:graphicFrame macro="">
      <xdr:nvGraphicFramePr>
        <xdr:cNvPr id="983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34</xdr:row>
      <xdr:rowOff>9525</xdr:rowOff>
    </xdr:from>
    <xdr:to>
      <xdr:col>26</xdr:col>
      <xdr:colOff>114300</xdr:colOff>
      <xdr:row>44</xdr:row>
      <xdr:rowOff>152400</xdr:rowOff>
    </xdr:to>
    <xdr:graphicFrame macro="">
      <xdr:nvGraphicFramePr>
        <xdr:cNvPr id="9830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95250</xdr:colOff>
      <xdr:row>0</xdr:row>
      <xdr:rowOff>85725</xdr:rowOff>
    </xdr:from>
    <xdr:to>
      <xdr:col>8</xdr:col>
      <xdr:colOff>142875</xdr:colOff>
      <xdr:row>3</xdr:row>
      <xdr:rowOff>57150</xdr:rowOff>
    </xdr:to>
    <xdr:pic>
      <xdr:nvPicPr>
        <xdr:cNvPr id="6" name="Picture 5" descr="AAR_DIR_MobilitySystems"/>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85725"/>
          <a:ext cx="2105025" cy="4572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152400</xdr:colOff>
      <xdr:row>0</xdr:row>
      <xdr:rowOff>0</xdr:rowOff>
    </xdr:from>
    <xdr:to>
      <xdr:col>5</xdr:col>
      <xdr:colOff>304800</xdr:colOff>
      <xdr:row>0</xdr:row>
      <xdr:rowOff>0</xdr:rowOff>
    </xdr:to>
    <xdr:pic>
      <xdr:nvPicPr>
        <xdr:cNvPr id="55297" name="Picture 1" descr="Pierce - colo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95850" y="0"/>
          <a:ext cx="19050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352425</xdr:colOff>
      <xdr:row>0</xdr:row>
      <xdr:rowOff>0</xdr:rowOff>
    </xdr:from>
    <xdr:to>
      <xdr:col>12</xdr:col>
      <xdr:colOff>304800</xdr:colOff>
      <xdr:row>0</xdr:row>
      <xdr:rowOff>0</xdr:rowOff>
    </xdr:to>
    <xdr:pic>
      <xdr:nvPicPr>
        <xdr:cNvPr id="55298" name="Picture 2" descr="McNeilus - colo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277100" y="0"/>
          <a:ext cx="7810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400050</xdr:colOff>
      <xdr:row>0</xdr:row>
      <xdr:rowOff>0</xdr:rowOff>
    </xdr:from>
    <xdr:to>
      <xdr:col>7</xdr:col>
      <xdr:colOff>228600</xdr:colOff>
      <xdr:row>0</xdr:row>
      <xdr:rowOff>0</xdr:rowOff>
    </xdr:to>
    <xdr:pic>
      <xdr:nvPicPr>
        <xdr:cNvPr id="55299" name="Picture 3" descr="JLG Logo - colo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00850" y="0"/>
          <a:ext cx="4667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133350</xdr:colOff>
      <xdr:row>0</xdr:row>
      <xdr:rowOff>0</xdr:rowOff>
    </xdr:from>
    <xdr:to>
      <xdr:col>3</xdr:col>
      <xdr:colOff>104775</xdr:colOff>
      <xdr:row>0</xdr:row>
      <xdr:rowOff>0</xdr:rowOff>
    </xdr:to>
    <xdr:pic>
      <xdr:nvPicPr>
        <xdr:cNvPr id="55300"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14500" y="0"/>
          <a:ext cx="3133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114300</xdr:rowOff>
    </xdr:from>
    <xdr:to>
      <xdr:col>1</xdr:col>
      <xdr:colOff>1098146</xdr:colOff>
      <xdr:row>4</xdr:row>
      <xdr:rowOff>15240</xdr:rowOff>
    </xdr:to>
    <xdr:pic>
      <xdr:nvPicPr>
        <xdr:cNvPr id="7" name="Picture 6" descr="AAR_DIR_MobilitySystems"/>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5725" y="114300"/>
          <a:ext cx="2593571" cy="54864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46759</xdr:colOff>
      <xdr:row>2</xdr:row>
      <xdr:rowOff>142875</xdr:rowOff>
    </xdr:to>
    <xdr:pic>
      <xdr:nvPicPr>
        <xdr:cNvPr id="3" name="Picture 2"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2161309" cy="4572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281940</xdr:colOff>
      <xdr:row>0</xdr:row>
      <xdr:rowOff>0</xdr:rowOff>
    </xdr:from>
    <xdr:to>
      <xdr:col>7</xdr:col>
      <xdr:colOff>182880</xdr:colOff>
      <xdr:row>0</xdr:row>
      <xdr:rowOff>0</xdr:rowOff>
    </xdr:to>
    <xdr:pic>
      <xdr:nvPicPr>
        <xdr:cNvPr id="2" name="Picture 267" descr="Pierce - color">
          <a:extLst>
            <a:ext uri="{FF2B5EF4-FFF2-40B4-BE49-F238E27FC236}">
              <a16:creationId xmlns="" xmlns:a16="http://schemas.microsoft.com/office/drawing/2014/main" id="{00000000-0008-0000-0500-000061AC4F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2515" y="0"/>
          <a:ext cx="1272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373380</xdr:colOff>
      <xdr:row>0</xdr:row>
      <xdr:rowOff>0</xdr:rowOff>
    </xdr:from>
    <xdr:to>
      <xdr:col>15</xdr:col>
      <xdr:colOff>464820</xdr:colOff>
      <xdr:row>0</xdr:row>
      <xdr:rowOff>0</xdr:rowOff>
    </xdr:to>
    <xdr:pic>
      <xdr:nvPicPr>
        <xdr:cNvPr id="3" name="Picture 269" descr="McNeilus - color">
          <a:extLst>
            <a:ext uri="{FF2B5EF4-FFF2-40B4-BE49-F238E27FC236}">
              <a16:creationId xmlns="" xmlns:a16="http://schemas.microsoft.com/office/drawing/2014/main" id="{00000000-0008-0000-0500-000062AC4F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259580" y="0"/>
          <a:ext cx="136779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68580</xdr:colOff>
      <xdr:row>0</xdr:row>
      <xdr:rowOff>0</xdr:rowOff>
    </xdr:from>
    <xdr:to>
      <xdr:col>10</xdr:col>
      <xdr:colOff>190500</xdr:colOff>
      <xdr:row>0</xdr:row>
      <xdr:rowOff>0</xdr:rowOff>
    </xdr:to>
    <xdr:pic>
      <xdr:nvPicPr>
        <xdr:cNvPr id="4" name="Picture 274" descr="JLG Logo - color">
          <a:extLst>
            <a:ext uri="{FF2B5EF4-FFF2-40B4-BE49-F238E27FC236}">
              <a16:creationId xmlns="" xmlns:a16="http://schemas.microsoft.com/office/drawing/2014/main" id="{00000000-0008-0000-0500-000063AC4F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3655" y="0"/>
          <a:ext cx="86487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67310</xdr:colOff>
      <xdr:row>44</xdr:row>
      <xdr:rowOff>40640</xdr:rowOff>
    </xdr:from>
    <xdr:to>
      <xdr:col>3</xdr:col>
      <xdr:colOff>343535</xdr:colOff>
      <xdr:row>45</xdr:row>
      <xdr:rowOff>27090</xdr:rowOff>
    </xdr:to>
    <xdr:sp macro="" textlink="">
      <xdr:nvSpPr>
        <xdr:cNvPr id="6" name="Rectangle 55">
          <a:extLst>
            <a:ext uri="{FF2B5EF4-FFF2-40B4-BE49-F238E27FC236}">
              <a16:creationId xmlns="" xmlns:a16="http://schemas.microsoft.com/office/drawing/2014/main" id="{00000000-0008-0000-0500-0000376C0000}"/>
            </a:ext>
          </a:extLst>
        </xdr:cNvPr>
        <xdr:cNvSpPr>
          <a:spLocks noChangeArrowheads="1"/>
        </xdr:cNvSpPr>
      </xdr:nvSpPr>
      <xdr:spPr bwMode="auto">
        <a:xfrm>
          <a:off x="857885" y="6489065"/>
          <a:ext cx="276225"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a:t>
          </a:r>
        </a:p>
      </xdr:txBody>
    </xdr:sp>
    <xdr:clientData/>
  </xdr:twoCellAnchor>
  <xdr:twoCellAnchor>
    <xdr:from>
      <xdr:col>3</xdr:col>
      <xdr:colOff>288290</xdr:colOff>
      <xdr:row>44</xdr:row>
      <xdr:rowOff>40640</xdr:rowOff>
    </xdr:from>
    <xdr:to>
      <xdr:col>4</xdr:col>
      <xdr:colOff>213393</xdr:colOff>
      <xdr:row>45</xdr:row>
      <xdr:rowOff>27090</xdr:rowOff>
    </xdr:to>
    <xdr:sp macro="" textlink="">
      <xdr:nvSpPr>
        <xdr:cNvPr id="7" name="Rectangle 60">
          <a:extLst>
            <a:ext uri="{FF2B5EF4-FFF2-40B4-BE49-F238E27FC236}">
              <a16:creationId xmlns="" xmlns:a16="http://schemas.microsoft.com/office/drawing/2014/main" id="{00000000-0008-0000-0500-00003C6C0000}"/>
            </a:ext>
          </a:extLst>
        </xdr:cNvPr>
        <xdr:cNvSpPr>
          <a:spLocks noChangeArrowheads="1"/>
        </xdr:cNvSpPr>
      </xdr:nvSpPr>
      <xdr:spPr bwMode="auto">
        <a:xfrm>
          <a:off x="1078865" y="6489065"/>
          <a:ext cx="268003"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2</a:t>
          </a:r>
        </a:p>
      </xdr:txBody>
    </xdr:sp>
    <xdr:clientData/>
  </xdr:twoCellAnchor>
  <xdr:twoCellAnchor>
    <xdr:from>
      <xdr:col>4</xdr:col>
      <xdr:colOff>154940</xdr:colOff>
      <xdr:row>44</xdr:row>
      <xdr:rowOff>40640</xdr:rowOff>
    </xdr:from>
    <xdr:to>
      <xdr:col>5</xdr:col>
      <xdr:colOff>67691</xdr:colOff>
      <xdr:row>45</xdr:row>
      <xdr:rowOff>27090</xdr:rowOff>
    </xdr:to>
    <xdr:sp macro="" textlink="">
      <xdr:nvSpPr>
        <xdr:cNvPr id="8" name="Rectangle 62">
          <a:extLst>
            <a:ext uri="{FF2B5EF4-FFF2-40B4-BE49-F238E27FC236}">
              <a16:creationId xmlns="" xmlns:a16="http://schemas.microsoft.com/office/drawing/2014/main" id="{00000000-0008-0000-0500-00003E6C0000}"/>
            </a:ext>
          </a:extLst>
        </xdr:cNvPr>
        <xdr:cNvSpPr>
          <a:spLocks noChangeArrowheads="1"/>
        </xdr:cNvSpPr>
      </xdr:nvSpPr>
      <xdr:spPr bwMode="auto">
        <a:xfrm>
          <a:off x="1288415" y="6489065"/>
          <a:ext cx="255651"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3</a:t>
          </a:r>
        </a:p>
      </xdr:txBody>
    </xdr:sp>
    <xdr:clientData/>
  </xdr:twoCellAnchor>
  <xdr:twoCellAnchor>
    <xdr:from>
      <xdr:col>5</xdr:col>
      <xdr:colOff>40640</xdr:colOff>
      <xdr:row>44</xdr:row>
      <xdr:rowOff>40640</xdr:rowOff>
    </xdr:from>
    <xdr:to>
      <xdr:col>5</xdr:col>
      <xdr:colOff>320532</xdr:colOff>
      <xdr:row>45</xdr:row>
      <xdr:rowOff>27090</xdr:rowOff>
    </xdr:to>
    <xdr:sp macro="" textlink="">
      <xdr:nvSpPr>
        <xdr:cNvPr id="9" name="Rectangle 64">
          <a:extLst>
            <a:ext uri="{FF2B5EF4-FFF2-40B4-BE49-F238E27FC236}">
              <a16:creationId xmlns="" xmlns:a16="http://schemas.microsoft.com/office/drawing/2014/main" id="{00000000-0008-0000-0500-0000406C0000}"/>
            </a:ext>
          </a:extLst>
        </xdr:cNvPr>
        <xdr:cNvSpPr>
          <a:spLocks noChangeArrowheads="1"/>
        </xdr:cNvSpPr>
      </xdr:nvSpPr>
      <xdr:spPr bwMode="auto">
        <a:xfrm>
          <a:off x="1517015" y="6489065"/>
          <a:ext cx="279892"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4</a:t>
          </a:r>
        </a:p>
      </xdr:txBody>
    </xdr:sp>
    <xdr:clientData/>
  </xdr:twoCellAnchor>
  <xdr:twoCellAnchor>
    <xdr:from>
      <xdr:col>5</xdr:col>
      <xdr:colOff>247650</xdr:colOff>
      <xdr:row>44</xdr:row>
      <xdr:rowOff>40640</xdr:rowOff>
    </xdr:from>
    <xdr:to>
      <xdr:col>6</xdr:col>
      <xdr:colOff>180409</xdr:colOff>
      <xdr:row>45</xdr:row>
      <xdr:rowOff>27090</xdr:rowOff>
    </xdr:to>
    <xdr:sp macro="" textlink="">
      <xdr:nvSpPr>
        <xdr:cNvPr id="10" name="Rectangle 66">
          <a:extLst>
            <a:ext uri="{FF2B5EF4-FFF2-40B4-BE49-F238E27FC236}">
              <a16:creationId xmlns="" xmlns:a16="http://schemas.microsoft.com/office/drawing/2014/main" id="{00000000-0008-0000-0500-0000426C0000}"/>
            </a:ext>
          </a:extLst>
        </xdr:cNvPr>
        <xdr:cNvSpPr>
          <a:spLocks noChangeArrowheads="1"/>
        </xdr:cNvSpPr>
      </xdr:nvSpPr>
      <xdr:spPr bwMode="auto">
        <a:xfrm>
          <a:off x="1724025" y="6489065"/>
          <a:ext cx="275659"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5</a:t>
          </a:r>
        </a:p>
      </xdr:txBody>
    </xdr:sp>
    <xdr:clientData/>
  </xdr:twoCellAnchor>
  <xdr:twoCellAnchor>
    <xdr:from>
      <xdr:col>6</xdr:col>
      <xdr:colOff>93980</xdr:colOff>
      <xdr:row>44</xdr:row>
      <xdr:rowOff>40640</xdr:rowOff>
    </xdr:from>
    <xdr:to>
      <xdr:col>7</xdr:col>
      <xdr:colOff>6731</xdr:colOff>
      <xdr:row>45</xdr:row>
      <xdr:rowOff>27090</xdr:rowOff>
    </xdr:to>
    <xdr:sp macro="" textlink="">
      <xdr:nvSpPr>
        <xdr:cNvPr id="11" name="Rectangle 68">
          <a:extLst>
            <a:ext uri="{FF2B5EF4-FFF2-40B4-BE49-F238E27FC236}">
              <a16:creationId xmlns="" xmlns:a16="http://schemas.microsoft.com/office/drawing/2014/main" id="{00000000-0008-0000-0500-0000446C0000}"/>
            </a:ext>
          </a:extLst>
        </xdr:cNvPr>
        <xdr:cNvSpPr>
          <a:spLocks noChangeArrowheads="1"/>
        </xdr:cNvSpPr>
      </xdr:nvSpPr>
      <xdr:spPr bwMode="auto">
        <a:xfrm>
          <a:off x="1913255" y="6489065"/>
          <a:ext cx="255651"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6</a:t>
          </a:r>
        </a:p>
      </xdr:txBody>
    </xdr:sp>
    <xdr:clientData/>
  </xdr:twoCellAnchor>
  <xdr:twoCellAnchor>
    <xdr:from>
      <xdr:col>6</xdr:col>
      <xdr:colOff>320675</xdr:colOff>
      <xdr:row>44</xdr:row>
      <xdr:rowOff>40640</xdr:rowOff>
    </xdr:from>
    <xdr:to>
      <xdr:col>7</xdr:col>
      <xdr:colOff>228951</xdr:colOff>
      <xdr:row>45</xdr:row>
      <xdr:rowOff>27090</xdr:rowOff>
    </xdr:to>
    <xdr:sp macro="" textlink="">
      <xdr:nvSpPr>
        <xdr:cNvPr id="12" name="Rectangle 70">
          <a:extLst>
            <a:ext uri="{FF2B5EF4-FFF2-40B4-BE49-F238E27FC236}">
              <a16:creationId xmlns="" xmlns:a16="http://schemas.microsoft.com/office/drawing/2014/main" id="{00000000-0008-0000-0500-0000466C0000}"/>
            </a:ext>
          </a:extLst>
        </xdr:cNvPr>
        <xdr:cNvSpPr>
          <a:spLocks noChangeArrowheads="1"/>
        </xdr:cNvSpPr>
      </xdr:nvSpPr>
      <xdr:spPr bwMode="auto">
        <a:xfrm>
          <a:off x="2139950" y="6489065"/>
          <a:ext cx="251176"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7</a:t>
          </a:r>
        </a:p>
      </xdr:txBody>
    </xdr:sp>
    <xdr:clientData/>
  </xdr:twoCellAnchor>
  <xdr:twoCellAnchor>
    <xdr:from>
      <xdr:col>7</xdr:col>
      <xdr:colOff>154940</xdr:colOff>
      <xdr:row>44</xdr:row>
      <xdr:rowOff>40640</xdr:rowOff>
    </xdr:from>
    <xdr:to>
      <xdr:col>8</xdr:col>
      <xdr:colOff>67691</xdr:colOff>
      <xdr:row>45</xdr:row>
      <xdr:rowOff>27090</xdr:rowOff>
    </xdr:to>
    <xdr:sp macro="" textlink="">
      <xdr:nvSpPr>
        <xdr:cNvPr id="13" name="Rectangle 72">
          <a:extLst>
            <a:ext uri="{FF2B5EF4-FFF2-40B4-BE49-F238E27FC236}">
              <a16:creationId xmlns="" xmlns:a16="http://schemas.microsoft.com/office/drawing/2014/main" id="{00000000-0008-0000-0500-0000486C0000}"/>
            </a:ext>
          </a:extLst>
        </xdr:cNvPr>
        <xdr:cNvSpPr>
          <a:spLocks noChangeArrowheads="1"/>
        </xdr:cNvSpPr>
      </xdr:nvSpPr>
      <xdr:spPr bwMode="auto">
        <a:xfrm>
          <a:off x="2317115" y="6489065"/>
          <a:ext cx="255651"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8</a:t>
          </a:r>
        </a:p>
      </xdr:txBody>
    </xdr:sp>
    <xdr:clientData/>
  </xdr:twoCellAnchor>
  <xdr:twoCellAnchor>
    <xdr:from>
      <xdr:col>8</xdr:col>
      <xdr:colOff>6350</xdr:colOff>
      <xdr:row>44</xdr:row>
      <xdr:rowOff>40640</xdr:rowOff>
    </xdr:from>
    <xdr:to>
      <xdr:col>8</xdr:col>
      <xdr:colOff>261658</xdr:colOff>
      <xdr:row>45</xdr:row>
      <xdr:rowOff>27090</xdr:rowOff>
    </xdr:to>
    <xdr:sp macro="" textlink="">
      <xdr:nvSpPr>
        <xdr:cNvPr id="14" name="Rectangle 74">
          <a:extLst>
            <a:ext uri="{FF2B5EF4-FFF2-40B4-BE49-F238E27FC236}">
              <a16:creationId xmlns="" xmlns:a16="http://schemas.microsoft.com/office/drawing/2014/main" id="{00000000-0008-0000-0500-00004A6C0000}"/>
            </a:ext>
          </a:extLst>
        </xdr:cNvPr>
        <xdr:cNvSpPr>
          <a:spLocks noChangeArrowheads="1"/>
        </xdr:cNvSpPr>
      </xdr:nvSpPr>
      <xdr:spPr bwMode="auto">
        <a:xfrm>
          <a:off x="2511425" y="6489065"/>
          <a:ext cx="255308"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9</a:t>
          </a:r>
        </a:p>
      </xdr:txBody>
    </xdr:sp>
    <xdr:clientData/>
  </xdr:twoCellAnchor>
  <xdr:twoCellAnchor>
    <xdr:from>
      <xdr:col>8</xdr:col>
      <xdr:colOff>208280</xdr:colOff>
      <xdr:row>44</xdr:row>
      <xdr:rowOff>40640</xdr:rowOff>
    </xdr:from>
    <xdr:to>
      <xdr:col>9</xdr:col>
      <xdr:colOff>67854</xdr:colOff>
      <xdr:row>45</xdr:row>
      <xdr:rowOff>27090</xdr:rowOff>
    </xdr:to>
    <xdr:sp macro="" textlink="">
      <xdr:nvSpPr>
        <xdr:cNvPr id="15" name="Rectangle 76">
          <a:extLst>
            <a:ext uri="{FF2B5EF4-FFF2-40B4-BE49-F238E27FC236}">
              <a16:creationId xmlns="" xmlns:a16="http://schemas.microsoft.com/office/drawing/2014/main" id="{00000000-0008-0000-0500-00004C6C0000}"/>
            </a:ext>
          </a:extLst>
        </xdr:cNvPr>
        <xdr:cNvSpPr>
          <a:spLocks noChangeArrowheads="1"/>
        </xdr:cNvSpPr>
      </xdr:nvSpPr>
      <xdr:spPr bwMode="auto">
        <a:xfrm>
          <a:off x="2713355" y="6489065"/>
          <a:ext cx="259624"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10</a:t>
          </a:r>
        </a:p>
      </xdr:txBody>
    </xdr:sp>
    <xdr:clientData/>
  </xdr:twoCellAnchor>
  <xdr:twoCellAnchor>
    <xdr:from>
      <xdr:col>9</xdr:col>
      <xdr:colOff>6350</xdr:colOff>
      <xdr:row>44</xdr:row>
      <xdr:rowOff>40640</xdr:rowOff>
    </xdr:from>
    <xdr:to>
      <xdr:col>9</xdr:col>
      <xdr:colOff>297365</xdr:colOff>
      <xdr:row>45</xdr:row>
      <xdr:rowOff>27090</xdr:rowOff>
    </xdr:to>
    <xdr:sp macro="" textlink="">
      <xdr:nvSpPr>
        <xdr:cNvPr id="16" name="Rectangle 78">
          <a:extLst>
            <a:ext uri="{FF2B5EF4-FFF2-40B4-BE49-F238E27FC236}">
              <a16:creationId xmlns="" xmlns:a16="http://schemas.microsoft.com/office/drawing/2014/main" id="{00000000-0008-0000-0500-00004E6C0000}"/>
            </a:ext>
          </a:extLst>
        </xdr:cNvPr>
        <xdr:cNvSpPr>
          <a:spLocks noChangeArrowheads="1"/>
        </xdr:cNvSpPr>
      </xdr:nvSpPr>
      <xdr:spPr bwMode="auto">
        <a:xfrm>
          <a:off x="2911475" y="6489065"/>
          <a:ext cx="291015"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11</a:t>
          </a:r>
        </a:p>
      </xdr:txBody>
    </xdr:sp>
    <xdr:clientData/>
  </xdr:twoCellAnchor>
  <xdr:twoCellAnchor>
    <xdr:from>
      <xdr:col>9</xdr:col>
      <xdr:colOff>212725</xdr:colOff>
      <xdr:row>44</xdr:row>
      <xdr:rowOff>40640</xdr:rowOff>
    </xdr:from>
    <xdr:to>
      <xdr:col>10</xdr:col>
      <xdr:colOff>120479</xdr:colOff>
      <xdr:row>45</xdr:row>
      <xdr:rowOff>27090</xdr:rowOff>
    </xdr:to>
    <xdr:sp macro="" textlink="">
      <xdr:nvSpPr>
        <xdr:cNvPr id="17" name="Rectangle 80">
          <a:extLst>
            <a:ext uri="{FF2B5EF4-FFF2-40B4-BE49-F238E27FC236}">
              <a16:creationId xmlns="" xmlns:a16="http://schemas.microsoft.com/office/drawing/2014/main" id="{00000000-0008-0000-0500-0000506C0000}"/>
            </a:ext>
          </a:extLst>
        </xdr:cNvPr>
        <xdr:cNvSpPr>
          <a:spLocks noChangeArrowheads="1"/>
        </xdr:cNvSpPr>
      </xdr:nvSpPr>
      <xdr:spPr bwMode="auto">
        <a:xfrm>
          <a:off x="3117850" y="6489065"/>
          <a:ext cx="250654"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12</a:t>
          </a:r>
        </a:p>
      </xdr:txBody>
    </xdr:sp>
    <xdr:clientData/>
  </xdr:twoCellAnchor>
  <xdr:twoCellAnchor>
    <xdr:from>
      <xdr:col>10</xdr:col>
      <xdr:colOff>67310</xdr:colOff>
      <xdr:row>44</xdr:row>
      <xdr:rowOff>40640</xdr:rowOff>
    </xdr:from>
    <xdr:to>
      <xdr:col>10</xdr:col>
      <xdr:colOff>350620</xdr:colOff>
      <xdr:row>45</xdr:row>
      <xdr:rowOff>27090</xdr:rowOff>
    </xdr:to>
    <xdr:sp macro="" textlink="">
      <xdr:nvSpPr>
        <xdr:cNvPr id="18" name="Rectangle 82">
          <a:extLst>
            <a:ext uri="{FF2B5EF4-FFF2-40B4-BE49-F238E27FC236}">
              <a16:creationId xmlns="" xmlns:a16="http://schemas.microsoft.com/office/drawing/2014/main" id="{00000000-0008-0000-0500-0000526C0000}"/>
            </a:ext>
          </a:extLst>
        </xdr:cNvPr>
        <xdr:cNvSpPr>
          <a:spLocks noChangeArrowheads="1"/>
        </xdr:cNvSpPr>
      </xdr:nvSpPr>
      <xdr:spPr bwMode="auto">
        <a:xfrm>
          <a:off x="3315335" y="6489065"/>
          <a:ext cx="283310"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13</a:t>
          </a:r>
        </a:p>
      </xdr:txBody>
    </xdr:sp>
    <xdr:clientData/>
  </xdr:twoCellAnchor>
  <xdr:twoCellAnchor>
    <xdr:from>
      <xdr:col>10</xdr:col>
      <xdr:colOff>286385</xdr:colOff>
      <xdr:row>44</xdr:row>
      <xdr:rowOff>40640</xdr:rowOff>
    </xdr:from>
    <xdr:to>
      <xdr:col>10</xdr:col>
      <xdr:colOff>533664</xdr:colOff>
      <xdr:row>45</xdr:row>
      <xdr:rowOff>27090</xdr:rowOff>
    </xdr:to>
    <xdr:sp macro="" textlink="">
      <xdr:nvSpPr>
        <xdr:cNvPr id="19" name="Rectangle 84">
          <a:extLst>
            <a:ext uri="{FF2B5EF4-FFF2-40B4-BE49-F238E27FC236}">
              <a16:creationId xmlns="" xmlns:a16="http://schemas.microsoft.com/office/drawing/2014/main" id="{00000000-0008-0000-0500-0000546C0000}"/>
            </a:ext>
          </a:extLst>
        </xdr:cNvPr>
        <xdr:cNvSpPr>
          <a:spLocks noChangeArrowheads="1"/>
        </xdr:cNvSpPr>
      </xdr:nvSpPr>
      <xdr:spPr bwMode="auto">
        <a:xfrm>
          <a:off x="3534410" y="6489065"/>
          <a:ext cx="247279"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14</a:t>
          </a:r>
        </a:p>
      </xdr:txBody>
    </xdr:sp>
    <xdr:clientData/>
  </xdr:twoCellAnchor>
  <xdr:twoCellAnchor>
    <xdr:from>
      <xdr:col>10</xdr:col>
      <xdr:colOff>488315</xdr:colOff>
      <xdr:row>44</xdr:row>
      <xdr:rowOff>40640</xdr:rowOff>
    </xdr:from>
    <xdr:to>
      <xdr:col>11</xdr:col>
      <xdr:colOff>76352</xdr:colOff>
      <xdr:row>45</xdr:row>
      <xdr:rowOff>27090</xdr:rowOff>
    </xdr:to>
    <xdr:sp macro="" textlink="">
      <xdr:nvSpPr>
        <xdr:cNvPr id="20" name="Rectangle 86">
          <a:extLst>
            <a:ext uri="{FF2B5EF4-FFF2-40B4-BE49-F238E27FC236}">
              <a16:creationId xmlns="" xmlns:a16="http://schemas.microsoft.com/office/drawing/2014/main" id="{00000000-0008-0000-0500-0000566C0000}"/>
            </a:ext>
          </a:extLst>
        </xdr:cNvPr>
        <xdr:cNvSpPr>
          <a:spLocks noChangeArrowheads="1"/>
        </xdr:cNvSpPr>
      </xdr:nvSpPr>
      <xdr:spPr bwMode="auto">
        <a:xfrm>
          <a:off x="3736340" y="6489065"/>
          <a:ext cx="254787"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15</a:t>
          </a:r>
        </a:p>
      </xdr:txBody>
    </xdr:sp>
    <xdr:clientData/>
  </xdr:twoCellAnchor>
  <xdr:twoCellAnchor>
    <xdr:from>
      <xdr:col>11</xdr:col>
      <xdr:colOff>12700</xdr:colOff>
      <xdr:row>44</xdr:row>
      <xdr:rowOff>40640</xdr:rowOff>
    </xdr:from>
    <xdr:to>
      <xdr:col>11</xdr:col>
      <xdr:colOff>281301</xdr:colOff>
      <xdr:row>45</xdr:row>
      <xdr:rowOff>27090</xdr:rowOff>
    </xdr:to>
    <xdr:sp macro="" textlink="">
      <xdr:nvSpPr>
        <xdr:cNvPr id="21" name="Rectangle 88">
          <a:extLst>
            <a:ext uri="{FF2B5EF4-FFF2-40B4-BE49-F238E27FC236}">
              <a16:creationId xmlns="" xmlns:a16="http://schemas.microsoft.com/office/drawing/2014/main" id="{00000000-0008-0000-0500-0000586C0000}"/>
            </a:ext>
          </a:extLst>
        </xdr:cNvPr>
        <xdr:cNvSpPr>
          <a:spLocks noChangeArrowheads="1"/>
        </xdr:cNvSpPr>
      </xdr:nvSpPr>
      <xdr:spPr bwMode="auto">
        <a:xfrm>
          <a:off x="3927475" y="6489065"/>
          <a:ext cx="268601"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16</a:t>
          </a:r>
        </a:p>
      </xdr:txBody>
    </xdr:sp>
    <xdr:clientData/>
  </xdr:twoCellAnchor>
  <xdr:twoCellAnchor>
    <xdr:from>
      <xdr:col>11</xdr:col>
      <xdr:colOff>214630</xdr:colOff>
      <xdr:row>44</xdr:row>
      <xdr:rowOff>40640</xdr:rowOff>
    </xdr:from>
    <xdr:to>
      <xdr:col>12</xdr:col>
      <xdr:colOff>140293</xdr:colOff>
      <xdr:row>45</xdr:row>
      <xdr:rowOff>27090</xdr:rowOff>
    </xdr:to>
    <xdr:sp macro="" textlink="">
      <xdr:nvSpPr>
        <xdr:cNvPr id="22" name="Rectangle 90">
          <a:extLst>
            <a:ext uri="{FF2B5EF4-FFF2-40B4-BE49-F238E27FC236}">
              <a16:creationId xmlns="" xmlns:a16="http://schemas.microsoft.com/office/drawing/2014/main" id="{00000000-0008-0000-0500-00005A6C0000}"/>
            </a:ext>
          </a:extLst>
        </xdr:cNvPr>
        <xdr:cNvSpPr>
          <a:spLocks noChangeArrowheads="1"/>
        </xdr:cNvSpPr>
      </xdr:nvSpPr>
      <xdr:spPr bwMode="auto">
        <a:xfrm>
          <a:off x="4129405" y="6489065"/>
          <a:ext cx="268563" cy="1483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17</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24</xdr:row>
          <xdr:rowOff>152400</xdr:rowOff>
        </xdr:from>
        <xdr:to>
          <xdr:col>2</xdr:col>
          <xdr:colOff>0</xdr:colOff>
          <xdr:row>26</xdr:row>
          <xdr:rowOff>28575</xdr:rowOff>
        </xdr:to>
        <xdr:sp macro="" textlink="">
          <xdr:nvSpPr>
            <xdr:cNvPr id="119809" name="Check Box 1" hidden="1">
              <a:extLst>
                <a:ext uri="{63B3BB69-23CF-44E3-9099-C40C66FF867C}">
                  <a14:compatExt spid="_x0000_s119809"/>
                </a:ext>
                <a:ext uri="{FF2B5EF4-FFF2-40B4-BE49-F238E27FC236}">
                  <a16:creationId xmlns="" xmlns:a16="http://schemas.microsoft.com/office/drawing/2014/main" id="{00000000-0008-0000-0500-000013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142875</xdr:rowOff>
        </xdr:from>
        <xdr:to>
          <xdr:col>2</xdr:col>
          <xdr:colOff>0</xdr:colOff>
          <xdr:row>27</xdr:row>
          <xdr:rowOff>28575</xdr:rowOff>
        </xdr:to>
        <xdr:sp macro="" textlink="">
          <xdr:nvSpPr>
            <xdr:cNvPr id="119810" name="Check Box 2" hidden="1">
              <a:extLst>
                <a:ext uri="{63B3BB69-23CF-44E3-9099-C40C66FF867C}">
                  <a14:compatExt spid="_x0000_s119810"/>
                </a:ext>
                <a:ext uri="{FF2B5EF4-FFF2-40B4-BE49-F238E27FC236}">
                  <a16:creationId xmlns="" xmlns:a16="http://schemas.microsoft.com/office/drawing/2014/main" id="{00000000-0008-0000-0500-000014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142875</xdr:rowOff>
        </xdr:from>
        <xdr:to>
          <xdr:col>2</xdr:col>
          <xdr:colOff>0</xdr:colOff>
          <xdr:row>28</xdr:row>
          <xdr:rowOff>28575</xdr:rowOff>
        </xdr:to>
        <xdr:sp macro="" textlink="">
          <xdr:nvSpPr>
            <xdr:cNvPr id="119811" name="Check Box 3" hidden="1">
              <a:extLst>
                <a:ext uri="{63B3BB69-23CF-44E3-9099-C40C66FF867C}">
                  <a14:compatExt spid="_x0000_s119811"/>
                </a:ext>
                <a:ext uri="{FF2B5EF4-FFF2-40B4-BE49-F238E27FC236}">
                  <a16:creationId xmlns="" xmlns:a16="http://schemas.microsoft.com/office/drawing/2014/main" id="{00000000-0008-0000-0500-000015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142875</xdr:rowOff>
        </xdr:from>
        <xdr:to>
          <xdr:col>2</xdr:col>
          <xdr:colOff>0</xdr:colOff>
          <xdr:row>29</xdr:row>
          <xdr:rowOff>28575</xdr:rowOff>
        </xdr:to>
        <xdr:sp macro="" textlink="">
          <xdr:nvSpPr>
            <xdr:cNvPr id="119812" name="Check Box 4" hidden="1">
              <a:extLst>
                <a:ext uri="{63B3BB69-23CF-44E3-9099-C40C66FF867C}">
                  <a14:compatExt spid="_x0000_s119812"/>
                </a:ext>
                <a:ext uri="{FF2B5EF4-FFF2-40B4-BE49-F238E27FC236}">
                  <a16:creationId xmlns="" xmlns:a16="http://schemas.microsoft.com/office/drawing/2014/main" id="{00000000-0008-0000-0500-000016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142875</xdr:rowOff>
        </xdr:from>
        <xdr:to>
          <xdr:col>2</xdr:col>
          <xdr:colOff>0</xdr:colOff>
          <xdr:row>30</xdr:row>
          <xdr:rowOff>28575</xdr:rowOff>
        </xdr:to>
        <xdr:sp macro="" textlink="">
          <xdr:nvSpPr>
            <xdr:cNvPr id="119813" name="Check Box 5" hidden="1">
              <a:extLst>
                <a:ext uri="{63B3BB69-23CF-44E3-9099-C40C66FF867C}">
                  <a14:compatExt spid="_x0000_s119813"/>
                </a:ext>
                <a:ext uri="{FF2B5EF4-FFF2-40B4-BE49-F238E27FC236}">
                  <a16:creationId xmlns="" xmlns:a16="http://schemas.microsoft.com/office/drawing/2014/main" id="{00000000-0008-0000-0500-000017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142875</xdr:rowOff>
        </xdr:from>
        <xdr:to>
          <xdr:col>12</xdr:col>
          <xdr:colOff>0</xdr:colOff>
          <xdr:row>28</xdr:row>
          <xdr:rowOff>28575</xdr:rowOff>
        </xdr:to>
        <xdr:sp macro="" textlink="">
          <xdr:nvSpPr>
            <xdr:cNvPr id="119814" name="Check Box 6" hidden="1">
              <a:extLst>
                <a:ext uri="{63B3BB69-23CF-44E3-9099-C40C66FF867C}">
                  <a14:compatExt spid="_x0000_s119814"/>
                </a:ext>
                <a:ext uri="{FF2B5EF4-FFF2-40B4-BE49-F238E27FC236}">
                  <a16:creationId xmlns="" xmlns:a16="http://schemas.microsoft.com/office/drawing/2014/main" id="{00000000-0008-0000-0500-000018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142875</xdr:rowOff>
        </xdr:from>
        <xdr:to>
          <xdr:col>12</xdr:col>
          <xdr:colOff>0</xdr:colOff>
          <xdr:row>27</xdr:row>
          <xdr:rowOff>28575</xdr:rowOff>
        </xdr:to>
        <xdr:sp macro="" textlink="">
          <xdr:nvSpPr>
            <xdr:cNvPr id="119815" name="Check Box 7" hidden="1">
              <a:extLst>
                <a:ext uri="{63B3BB69-23CF-44E3-9099-C40C66FF867C}">
                  <a14:compatExt spid="_x0000_s119815"/>
                </a:ext>
                <a:ext uri="{FF2B5EF4-FFF2-40B4-BE49-F238E27FC236}">
                  <a16:creationId xmlns="" xmlns:a16="http://schemas.microsoft.com/office/drawing/2014/main" id="{00000000-0008-0000-0500-000019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142875</xdr:rowOff>
        </xdr:from>
        <xdr:to>
          <xdr:col>12</xdr:col>
          <xdr:colOff>0</xdr:colOff>
          <xdr:row>26</xdr:row>
          <xdr:rowOff>28575</xdr:rowOff>
        </xdr:to>
        <xdr:sp macro="" textlink="">
          <xdr:nvSpPr>
            <xdr:cNvPr id="119816" name="Check Box 8" hidden="1">
              <a:extLst>
                <a:ext uri="{63B3BB69-23CF-44E3-9099-C40C66FF867C}">
                  <a14:compatExt spid="_x0000_s119816"/>
                </a:ext>
                <a:ext uri="{FF2B5EF4-FFF2-40B4-BE49-F238E27FC236}">
                  <a16:creationId xmlns="" xmlns:a16="http://schemas.microsoft.com/office/drawing/2014/main" id="{00000000-0008-0000-0500-00001A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42</xdr:row>
          <xdr:rowOff>9525</xdr:rowOff>
        </xdr:from>
        <xdr:to>
          <xdr:col>2</xdr:col>
          <xdr:colOff>9525</xdr:colOff>
          <xdr:row>43</xdr:row>
          <xdr:rowOff>66675</xdr:rowOff>
        </xdr:to>
        <xdr:sp macro="" textlink="">
          <xdr:nvSpPr>
            <xdr:cNvPr id="119817" name="Check Box 9" hidden="1">
              <a:extLst>
                <a:ext uri="{63B3BB69-23CF-44E3-9099-C40C66FF867C}">
                  <a14:compatExt spid="_x0000_s119817"/>
                </a:ext>
                <a:ext uri="{FF2B5EF4-FFF2-40B4-BE49-F238E27FC236}">
                  <a16:creationId xmlns="" xmlns:a16="http://schemas.microsoft.com/office/drawing/2014/main" id="{00000000-0008-0000-0500-00001F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142875</xdr:rowOff>
        </xdr:from>
        <xdr:to>
          <xdr:col>2</xdr:col>
          <xdr:colOff>0</xdr:colOff>
          <xdr:row>34</xdr:row>
          <xdr:rowOff>28575</xdr:rowOff>
        </xdr:to>
        <xdr:sp macro="" textlink="">
          <xdr:nvSpPr>
            <xdr:cNvPr id="119818" name="Check Box 10" hidden="1">
              <a:extLst>
                <a:ext uri="{63B3BB69-23CF-44E3-9099-C40C66FF867C}">
                  <a14:compatExt spid="_x0000_s119818"/>
                </a:ext>
                <a:ext uri="{FF2B5EF4-FFF2-40B4-BE49-F238E27FC236}">
                  <a16:creationId xmlns="" xmlns:a16="http://schemas.microsoft.com/office/drawing/2014/main" id="{00000000-0008-0000-0500-000020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0</xdr:rowOff>
        </xdr:from>
        <xdr:to>
          <xdr:col>2</xdr:col>
          <xdr:colOff>0</xdr:colOff>
          <xdr:row>33</xdr:row>
          <xdr:rowOff>47625</xdr:rowOff>
        </xdr:to>
        <xdr:sp macro="" textlink="">
          <xdr:nvSpPr>
            <xdr:cNvPr id="119819" name="Check Box 11" hidden="1">
              <a:extLst>
                <a:ext uri="{63B3BB69-23CF-44E3-9099-C40C66FF867C}">
                  <a14:compatExt spid="_x0000_s119819"/>
                </a:ext>
                <a:ext uri="{FF2B5EF4-FFF2-40B4-BE49-F238E27FC236}">
                  <a16:creationId xmlns="" xmlns:a16="http://schemas.microsoft.com/office/drawing/2014/main" id="{00000000-0008-0000-0500-000021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34</xdr:row>
          <xdr:rowOff>152400</xdr:rowOff>
        </xdr:from>
        <xdr:to>
          <xdr:col>8</xdr:col>
          <xdr:colOff>190500</xdr:colOff>
          <xdr:row>36</xdr:row>
          <xdr:rowOff>38100</xdr:rowOff>
        </xdr:to>
        <xdr:sp macro="" textlink="">
          <xdr:nvSpPr>
            <xdr:cNvPr id="119820" name="Check Box 12" hidden="1">
              <a:extLst>
                <a:ext uri="{63B3BB69-23CF-44E3-9099-C40C66FF867C}">
                  <a14:compatExt spid="_x0000_s119820"/>
                </a:ext>
                <a:ext uri="{FF2B5EF4-FFF2-40B4-BE49-F238E27FC236}">
                  <a16:creationId xmlns="" xmlns:a16="http://schemas.microsoft.com/office/drawing/2014/main" id="{00000000-0008-0000-0500-000022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Part Submission Warrant (PSW)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36</xdr:row>
          <xdr:rowOff>152400</xdr:rowOff>
        </xdr:from>
        <xdr:to>
          <xdr:col>11</xdr:col>
          <xdr:colOff>9525</xdr:colOff>
          <xdr:row>38</xdr:row>
          <xdr:rowOff>38100</xdr:rowOff>
        </xdr:to>
        <xdr:sp macro="" textlink="">
          <xdr:nvSpPr>
            <xdr:cNvPr id="119821" name="Check Box 13" hidden="1">
              <a:extLst>
                <a:ext uri="{63B3BB69-23CF-44E3-9099-C40C66FF867C}">
                  <a14:compatExt spid="_x0000_s119821"/>
                </a:ext>
                <a:ext uri="{FF2B5EF4-FFF2-40B4-BE49-F238E27FC236}">
                  <a16:creationId xmlns="" xmlns:a16="http://schemas.microsoft.com/office/drawing/2014/main" id="{00000000-0008-0000-0500-000023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5a. Print Notes:  Material Tests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142875</xdr:rowOff>
        </xdr:from>
        <xdr:to>
          <xdr:col>12</xdr:col>
          <xdr:colOff>0</xdr:colOff>
          <xdr:row>29</xdr:row>
          <xdr:rowOff>28575</xdr:rowOff>
        </xdr:to>
        <xdr:sp macro="" textlink="">
          <xdr:nvSpPr>
            <xdr:cNvPr id="119822" name="Check Box 14" hidden="1">
              <a:extLst>
                <a:ext uri="{63B3BB69-23CF-44E3-9099-C40C66FF867C}">
                  <a14:compatExt spid="_x0000_s119822"/>
                </a:ext>
                <a:ext uri="{FF2B5EF4-FFF2-40B4-BE49-F238E27FC236}">
                  <a16:creationId xmlns="" xmlns:a16="http://schemas.microsoft.com/office/drawing/2014/main" id="{00000000-0008-0000-0500-000026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7</xdr:row>
          <xdr:rowOff>0</xdr:rowOff>
        </xdr:from>
        <xdr:to>
          <xdr:col>8</xdr:col>
          <xdr:colOff>85725</xdr:colOff>
          <xdr:row>8</xdr:row>
          <xdr:rowOff>47625</xdr:rowOff>
        </xdr:to>
        <xdr:sp macro="" textlink="">
          <xdr:nvSpPr>
            <xdr:cNvPr id="119823" name="Check Box 15" hidden="1">
              <a:extLst>
                <a:ext uri="{63B3BB69-23CF-44E3-9099-C40C66FF867C}">
                  <a14:compatExt spid="_x0000_s119823"/>
                </a:ext>
                <a:ext uri="{FF2B5EF4-FFF2-40B4-BE49-F238E27FC236}">
                  <a16:creationId xmlns="" xmlns:a16="http://schemas.microsoft.com/office/drawing/2014/main" id="{00000000-0008-0000-0500-000027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9</xdr:col>
          <xdr:colOff>85725</xdr:colOff>
          <xdr:row>8</xdr:row>
          <xdr:rowOff>47625</xdr:rowOff>
        </xdr:to>
        <xdr:sp macro="" textlink="">
          <xdr:nvSpPr>
            <xdr:cNvPr id="119824" name="Check Box 16" hidden="1">
              <a:extLst>
                <a:ext uri="{63B3BB69-23CF-44E3-9099-C40C66FF867C}">
                  <a14:compatExt spid="_x0000_s119824"/>
                </a:ext>
                <a:ext uri="{FF2B5EF4-FFF2-40B4-BE49-F238E27FC236}">
                  <a16:creationId xmlns="" xmlns:a16="http://schemas.microsoft.com/office/drawing/2014/main" id="{00000000-0008-0000-0500-000028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142875</xdr:rowOff>
        </xdr:from>
        <xdr:to>
          <xdr:col>12</xdr:col>
          <xdr:colOff>0</xdr:colOff>
          <xdr:row>30</xdr:row>
          <xdr:rowOff>28575</xdr:rowOff>
        </xdr:to>
        <xdr:sp macro="" textlink="">
          <xdr:nvSpPr>
            <xdr:cNvPr id="119825" name="Check Box 17" hidden="1">
              <a:extLst>
                <a:ext uri="{63B3BB69-23CF-44E3-9099-C40C66FF867C}">
                  <a14:compatExt spid="_x0000_s119825"/>
                </a:ext>
                <a:ext uri="{FF2B5EF4-FFF2-40B4-BE49-F238E27FC236}">
                  <a16:creationId xmlns="" xmlns:a16="http://schemas.microsoft.com/office/drawing/2014/main" id="{00000000-0008-0000-0500-00002D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65</xdr:row>
          <xdr:rowOff>0</xdr:rowOff>
        </xdr:from>
        <xdr:to>
          <xdr:col>7</xdr:col>
          <xdr:colOff>47625</xdr:colOff>
          <xdr:row>66</xdr:row>
          <xdr:rowOff>47625</xdr:rowOff>
        </xdr:to>
        <xdr:sp macro="" textlink="">
          <xdr:nvSpPr>
            <xdr:cNvPr id="119826" name="Check Box 18" hidden="1">
              <a:extLst>
                <a:ext uri="{63B3BB69-23CF-44E3-9099-C40C66FF867C}">
                  <a14:compatExt spid="_x0000_s119826"/>
                </a:ext>
                <a:ext uri="{FF2B5EF4-FFF2-40B4-BE49-F238E27FC236}">
                  <a16:creationId xmlns="" xmlns:a16="http://schemas.microsoft.com/office/drawing/2014/main" id="{00000000-0008-0000-0500-00002E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65</xdr:row>
          <xdr:rowOff>0</xdr:rowOff>
        </xdr:from>
        <xdr:to>
          <xdr:col>9</xdr:col>
          <xdr:colOff>152400</xdr:colOff>
          <xdr:row>66</xdr:row>
          <xdr:rowOff>47625</xdr:rowOff>
        </xdr:to>
        <xdr:sp macro="" textlink="">
          <xdr:nvSpPr>
            <xdr:cNvPr id="119827" name="Check Box 19" hidden="1">
              <a:extLst>
                <a:ext uri="{63B3BB69-23CF-44E3-9099-C40C66FF867C}">
                  <a14:compatExt spid="_x0000_s119827"/>
                </a:ext>
                <a:ext uri="{FF2B5EF4-FFF2-40B4-BE49-F238E27FC236}">
                  <a16:creationId xmlns="" xmlns:a16="http://schemas.microsoft.com/office/drawing/2014/main" id="{00000000-0008-0000-0500-00002F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Rejected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65</xdr:row>
          <xdr:rowOff>0</xdr:rowOff>
        </xdr:from>
        <xdr:to>
          <xdr:col>10</xdr:col>
          <xdr:colOff>295275</xdr:colOff>
          <xdr:row>66</xdr:row>
          <xdr:rowOff>66675</xdr:rowOff>
        </xdr:to>
        <xdr:sp macro="" textlink="">
          <xdr:nvSpPr>
            <xdr:cNvPr id="119828" name="Check Box 20" hidden="1">
              <a:extLst>
                <a:ext uri="{63B3BB69-23CF-44E3-9099-C40C66FF867C}">
                  <a14:compatExt spid="_x0000_s119828"/>
                </a:ext>
                <a:ext uri="{FF2B5EF4-FFF2-40B4-BE49-F238E27FC236}">
                  <a16:creationId xmlns="" xmlns:a16="http://schemas.microsoft.com/office/drawing/2014/main" id="{00000000-0008-0000-0500-000030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54</xdr:row>
          <xdr:rowOff>0</xdr:rowOff>
        </xdr:from>
        <xdr:to>
          <xdr:col>10</xdr:col>
          <xdr:colOff>85725</xdr:colOff>
          <xdr:row>55</xdr:row>
          <xdr:rowOff>47625</xdr:rowOff>
        </xdr:to>
        <xdr:sp macro="" textlink="">
          <xdr:nvSpPr>
            <xdr:cNvPr id="119829" name="Check Box 21" hidden="1">
              <a:extLst>
                <a:ext uri="{63B3BB69-23CF-44E3-9099-C40C66FF867C}">
                  <a14:compatExt spid="_x0000_s119829"/>
                </a:ext>
                <a:ext uri="{FF2B5EF4-FFF2-40B4-BE49-F238E27FC236}">
                  <a16:creationId xmlns="" xmlns:a16="http://schemas.microsoft.com/office/drawing/2014/main" id="{00000000-0008-0000-0500-000033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0</xdr:rowOff>
        </xdr:from>
        <xdr:to>
          <xdr:col>10</xdr:col>
          <xdr:colOff>419100</xdr:colOff>
          <xdr:row>55</xdr:row>
          <xdr:rowOff>47625</xdr:rowOff>
        </xdr:to>
        <xdr:sp macro="" textlink="">
          <xdr:nvSpPr>
            <xdr:cNvPr id="119830" name="Check Box 22" hidden="1">
              <a:extLst>
                <a:ext uri="{63B3BB69-23CF-44E3-9099-C40C66FF867C}">
                  <a14:compatExt spid="_x0000_s119830"/>
                </a:ext>
                <a:ext uri="{FF2B5EF4-FFF2-40B4-BE49-F238E27FC236}">
                  <a16:creationId xmlns="" xmlns:a16="http://schemas.microsoft.com/office/drawing/2014/main" id="{00000000-0008-0000-0500-000034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54</xdr:row>
          <xdr:rowOff>0</xdr:rowOff>
        </xdr:from>
        <xdr:to>
          <xdr:col>11</xdr:col>
          <xdr:colOff>66675</xdr:colOff>
          <xdr:row>55</xdr:row>
          <xdr:rowOff>47625</xdr:rowOff>
        </xdr:to>
        <xdr:sp macro="" textlink="">
          <xdr:nvSpPr>
            <xdr:cNvPr id="119831" name="Check Box 23" hidden="1">
              <a:extLst>
                <a:ext uri="{63B3BB69-23CF-44E3-9099-C40C66FF867C}">
                  <a14:compatExt spid="_x0000_s119831"/>
                </a:ext>
                <a:ext uri="{FF2B5EF4-FFF2-40B4-BE49-F238E27FC236}">
                  <a16:creationId xmlns="" xmlns:a16="http://schemas.microsoft.com/office/drawing/2014/main" id="{00000000-0008-0000-0500-000035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76200</xdr:colOff>
          <xdr:row>44</xdr:row>
          <xdr:rowOff>161925</xdr:rowOff>
        </xdr:from>
        <xdr:to>
          <xdr:col>4</xdr:col>
          <xdr:colOff>38100</xdr:colOff>
          <xdr:row>46</xdr:row>
          <xdr:rowOff>0</xdr:rowOff>
        </xdr:to>
        <xdr:sp macro="" textlink="">
          <xdr:nvSpPr>
            <xdr:cNvPr id="119832" name="Check Box 24" hidden="1">
              <a:extLst>
                <a:ext uri="{63B3BB69-23CF-44E3-9099-C40C66FF867C}">
                  <a14:compatExt spid="_x0000_s119832"/>
                </a:ext>
                <a:ext uri="{FF2B5EF4-FFF2-40B4-BE49-F238E27FC236}">
                  <a16:creationId xmlns="" xmlns:a16="http://schemas.microsoft.com/office/drawing/2014/main" id="{00000000-0008-0000-0500-000099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314325</xdr:colOff>
          <xdr:row>44</xdr:row>
          <xdr:rowOff>161925</xdr:rowOff>
        </xdr:from>
        <xdr:to>
          <xdr:col>4</xdr:col>
          <xdr:colOff>276225</xdr:colOff>
          <xdr:row>46</xdr:row>
          <xdr:rowOff>0</xdr:rowOff>
        </xdr:to>
        <xdr:sp macro="" textlink="">
          <xdr:nvSpPr>
            <xdr:cNvPr id="119833" name="Check Box 25" hidden="1">
              <a:extLst>
                <a:ext uri="{63B3BB69-23CF-44E3-9099-C40C66FF867C}">
                  <a14:compatExt spid="_x0000_s119833"/>
                </a:ext>
                <a:ext uri="{FF2B5EF4-FFF2-40B4-BE49-F238E27FC236}">
                  <a16:creationId xmlns="" xmlns:a16="http://schemas.microsoft.com/office/drawing/2014/main" id="{00000000-0008-0000-0500-00009A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180975</xdr:colOff>
          <xdr:row>44</xdr:row>
          <xdr:rowOff>161925</xdr:rowOff>
        </xdr:from>
        <xdr:to>
          <xdr:col>5</xdr:col>
          <xdr:colOff>142875</xdr:colOff>
          <xdr:row>46</xdr:row>
          <xdr:rowOff>0</xdr:rowOff>
        </xdr:to>
        <xdr:sp macro="" textlink="">
          <xdr:nvSpPr>
            <xdr:cNvPr id="119834" name="Check Box 26" hidden="1">
              <a:extLst>
                <a:ext uri="{63B3BB69-23CF-44E3-9099-C40C66FF867C}">
                  <a14:compatExt spid="_x0000_s119834"/>
                </a:ext>
                <a:ext uri="{FF2B5EF4-FFF2-40B4-BE49-F238E27FC236}">
                  <a16:creationId xmlns="" xmlns:a16="http://schemas.microsoft.com/office/drawing/2014/main" id="{00000000-0008-0000-0500-00009B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47625</xdr:colOff>
          <xdr:row>44</xdr:row>
          <xdr:rowOff>161925</xdr:rowOff>
        </xdr:from>
        <xdr:to>
          <xdr:col>6</xdr:col>
          <xdr:colOff>9525</xdr:colOff>
          <xdr:row>46</xdr:row>
          <xdr:rowOff>0</xdr:rowOff>
        </xdr:to>
        <xdr:sp macro="" textlink="">
          <xdr:nvSpPr>
            <xdr:cNvPr id="119835" name="Check Box 27" hidden="1">
              <a:extLst>
                <a:ext uri="{63B3BB69-23CF-44E3-9099-C40C66FF867C}">
                  <a14:compatExt spid="_x0000_s119835"/>
                </a:ext>
                <a:ext uri="{FF2B5EF4-FFF2-40B4-BE49-F238E27FC236}">
                  <a16:creationId xmlns="" xmlns:a16="http://schemas.microsoft.com/office/drawing/2014/main" id="{00000000-0008-0000-0500-00009C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257175</xdr:colOff>
          <xdr:row>44</xdr:row>
          <xdr:rowOff>161925</xdr:rowOff>
        </xdr:from>
        <xdr:to>
          <xdr:col>6</xdr:col>
          <xdr:colOff>219075</xdr:colOff>
          <xdr:row>46</xdr:row>
          <xdr:rowOff>0</xdr:rowOff>
        </xdr:to>
        <xdr:sp macro="" textlink="">
          <xdr:nvSpPr>
            <xdr:cNvPr id="119836" name="Check Box 28" hidden="1">
              <a:extLst>
                <a:ext uri="{63B3BB69-23CF-44E3-9099-C40C66FF867C}">
                  <a14:compatExt spid="_x0000_s119836"/>
                </a:ext>
                <a:ext uri="{FF2B5EF4-FFF2-40B4-BE49-F238E27FC236}">
                  <a16:creationId xmlns="" xmlns:a16="http://schemas.microsoft.com/office/drawing/2014/main" id="{00000000-0008-0000-0500-00009D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114300</xdr:colOff>
          <xdr:row>44</xdr:row>
          <xdr:rowOff>161925</xdr:rowOff>
        </xdr:from>
        <xdr:to>
          <xdr:col>7</xdr:col>
          <xdr:colOff>66675</xdr:colOff>
          <xdr:row>46</xdr:row>
          <xdr:rowOff>0</xdr:rowOff>
        </xdr:to>
        <xdr:sp macro="" textlink="">
          <xdr:nvSpPr>
            <xdr:cNvPr id="119837" name="Check Box 29" hidden="1">
              <a:extLst>
                <a:ext uri="{63B3BB69-23CF-44E3-9099-C40C66FF867C}">
                  <a14:compatExt spid="_x0000_s119837"/>
                </a:ext>
                <a:ext uri="{FF2B5EF4-FFF2-40B4-BE49-F238E27FC236}">
                  <a16:creationId xmlns="" xmlns:a16="http://schemas.microsoft.com/office/drawing/2014/main" id="{00000000-0008-0000-0500-00009E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314325</xdr:colOff>
          <xdr:row>44</xdr:row>
          <xdr:rowOff>161925</xdr:rowOff>
        </xdr:from>
        <xdr:to>
          <xdr:col>7</xdr:col>
          <xdr:colOff>276225</xdr:colOff>
          <xdr:row>46</xdr:row>
          <xdr:rowOff>0</xdr:rowOff>
        </xdr:to>
        <xdr:sp macro="" textlink="">
          <xdr:nvSpPr>
            <xdr:cNvPr id="119838" name="Check Box 30" hidden="1">
              <a:extLst>
                <a:ext uri="{63B3BB69-23CF-44E3-9099-C40C66FF867C}">
                  <a14:compatExt spid="_x0000_s119838"/>
                </a:ext>
                <a:ext uri="{FF2B5EF4-FFF2-40B4-BE49-F238E27FC236}">
                  <a16:creationId xmlns="" xmlns:a16="http://schemas.microsoft.com/office/drawing/2014/main" id="{00000000-0008-0000-0500-00009F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161925</xdr:colOff>
          <xdr:row>44</xdr:row>
          <xdr:rowOff>161925</xdr:rowOff>
        </xdr:from>
        <xdr:to>
          <xdr:col>8</xdr:col>
          <xdr:colOff>123825</xdr:colOff>
          <xdr:row>46</xdr:row>
          <xdr:rowOff>0</xdr:rowOff>
        </xdr:to>
        <xdr:sp macro="" textlink="">
          <xdr:nvSpPr>
            <xdr:cNvPr id="119839" name="Check Box 31" hidden="1">
              <a:extLst>
                <a:ext uri="{63B3BB69-23CF-44E3-9099-C40C66FF867C}">
                  <a14:compatExt spid="_x0000_s119839"/>
                </a:ext>
                <a:ext uri="{FF2B5EF4-FFF2-40B4-BE49-F238E27FC236}">
                  <a16:creationId xmlns="" xmlns:a16="http://schemas.microsoft.com/office/drawing/2014/main" id="{00000000-0008-0000-0500-0000A0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9525</xdr:colOff>
          <xdr:row>44</xdr:row>
          <xdr:rowOff>161925</xdr:rowOff>
        </xdr:from>
        <xdr:to>
          <xdr:col>8</xdr:col>
          <xdr:colOff>333375</xdr:colOff>
          <xdr:row>46</xdr:row>
          <xdr:rowOff>0</xdr:rowOff>
        </xdr:to>
        <xdr:sp macro="" textlink="">
          <xdr:nvSpPr>
            <xdr:cNvPr id="119840" name="Check Box 32" hidden="1">
              <a:extLst>
                <a:ext uri="{63B3BB69-23CF-44E3-9099-C40C66FF867C}">
                  <a14:compatExt spid="_x0000_s119840"/>
                </a:ext>
                <a:ext uri="{FF2B5EF4-FFF2-40B4-BE49-F238E27FC236}">
                  <a16:creationId xmlns="" xmlns:a16="http://schemas.microsoft.com/office/drawing/2014/main" id="{00000000-0008-0000-0500-0000A1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44</xdr:row>
          <xdr:rowOff>161925</xdr:rowOff>
        </xdr:from>
        <xdr:to>
          <xdr:col>9</xdr:col>
          <xdr:colOff>123825</xdr:colOff>
          <xdr:row>46</xdr:row>
          <xdr:rowOff>0</xdr:rowOff>
        </xdr:to>
        <xdr:sp macro="" textlink="">
          <xdr:nvSpPr>
            <xdr:cNvPr id="119841" name="Check Box 33" hidden="1">
              <a:extLst>
                <a:ext uri="{63B3BB69-23CF-44E3-9099-C40C66FF867C}">
                  <a14:compatExt spid="_x0000_s119841"/>
                </a:ext>
                <a:ext uri="{FF2B5EF4-FFF2-40B4-BE49-F238E27FC236}">
                  <a16:creationId xmlns="" xmlns:a16="http://schemas.microsoft.com/office/drawing/2014/main" id="{00000000-0008-0000-0500-0000A2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9525</xdr:colOff>
          <xdr:row>44</xdr:row>
          <xdr:rowOff>161925</xdr:rowOff>
        </xdr:from>
        <xdr:to>
          <xdr:col>9</xdr:col>
          <xdr:colOff>342900</xdr:colOff>
          <xdr:row>46</xdr:row>
          <xdr:rowOff>0</xdr:rowOff>
        </xdr:to>
        <xdr:sp macro="" textlink="">
          <xdr:nvSpPr>
            <xdr:cNvPr id="119842" name="Check Box 34" hidden="1">
              <a:extLst>
                <a:ext uri="{63B3BB69-23CF-44E3-9099-C40C66FF867C}">
                  <a14:compatExt spid="_x0000_s119842"/>
                </a:ext>
                <a:ext uri="{FF2B5EF4-FFF2-40B4-BE49-F238E27FC236}">
                  <a16:creationId xmlns="" xmlns:a16="http://schemas.microsoft.com/office/drawing/2014/main" id="{00000000-0008-0000-0500-0000A3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228600</xdr:colOff>
          <xdr:row>44</xdr:row>
          <xdr:rowOff>161925</xdr:rowOff>
        </xdr:from>
        <xdr:to>
          <xdr:col>10</xdr:col>
          <xdr:colOff>190500</xdr:colOff>
          <xdr:row>46</xdr:row>
          <xdr:rowOff>0</xdr:rowOff>
        </xdr:to>
        <xdr:sp macro="" textlink="">
          <xdr:nvSpPr>
            <xdr:cNvPr id="119843" name="Check Box 35" hidden="1">
              <a:extLst>
                <a:ext uri="{63B3BB69-23CF-44E3-9099-C40C66FF867C}">
                  <a14:compatExt spid="_x0000_s119843"/>
                </a:ext>
                <a:ext uri="{FF2B5EF4-FFF2-40B4-BE49-F238E27FC236}">
                  <a16:creationId xmlns="" xmlns:a16="http://schemas.microsoft.com/office/drawing/2014/main" id="{00000000-0008-0000-0500-0000A4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85725</xdr:colOff>
          <xdr:row>44</xdr:row>
          <xdr:rowOff>161925</xdr:rowOff>
        </xdr:from>
        <xdr:to>
          <xdr:col>10</xdr:col>
          <xdr:colOff>409575</xdr:colOff>
          <xdr:row>46</xdr:row>
          <xdr:rowOff>0</xdr:rowOff>
        </xdr:to>
        <xdr:sp macro="" textlink="">
          <xdr:nvSpPr>
            <xdr:cNvPr id="119844" name="Check Box 36" hidden="1">
              <a:extLst>
                <a:ext uri="{63B3BB69-23CF-44E3-9099-C40C66FF867C}">
                  <a14:compatExt spid="_x0000_s119844"/>
                </a:ext>
                <a:ext uri="{FF2B5EF4-FFF2-40B4-BE49-F238E27FC236}">
                  <a16:creationId xmlns="" xmlns:a16="http://schemas.microsoft.com/office/drawing/2014/main" id="{00000000-0008-0000-0500-0000A5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44</xdr:row>
          <xdr:rowOff>161925</xdr:rowOff>
        </xdr:from>
        <xdr:to>
          <xdr:col>10</xdr:col>
          <xdr:colOff>609600</xdr:colOff>
          <xdr:row>46</xdr:row>
          <xdr:rowOff>0</xdr:rowOff>
        </xdr:to>
        <xdr:sp macro="" textlink="">
          <xdr:nvSpPr>
            <xdr:cNvPr id="119845" name="Check Box 37" hidden="1">
              <a:extLst>
                <a:ext uri="{63B3BB69-23CF-44E3-9099-C40C66FF867C}">
                  <a14:compatExt spid="_x0000_s119845"/>
                </a:ext>
                <a:ext uri="{FF2B5EF4-FFF2-40B4-BE49-F238E27FC236}">
                  <a16:creationId xmlns="" xmlns:a16="http://schemas.microsoft.com/office/drawing/2014/main" id="{00000000-0008-0000-0500-0000A6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495300</xdr:colOff>
          <xdr:row>44</xdr:row>
          <xdr:rowOff>161925</xdr:rowOff>
        </xdr:from>
        <xdr:to>
          <xdr:col>11</xdr:col>
          <xdr:colOff>123825</xdr:colOff>
          <xdr:row>46</xdr:row>
          <xdr:rowOff>0</xdr:rowOff>
        </xdr:to>
        <xdr:sp macro="" textlink="">
          <xdr:nvSpPr>
            <xdr:cNvPr id="119846" name="Check Box 38" hidden="1">
              <a:extLst>
                <a:ext uri="{63B3BB69-23CF-44E3-9099-C40C66FF867C}">
                  <a14:compatExt spid="_x0000_s119846"/>
                </a:ext>
                <a:ext uri="{FF2B5EF4-FFF2-40B4-BE49-F238E27FC236}">
                  <a16:creationId xmlns="" xmlns:a16="http://schemas.microsoft.com/office/drawing/2014/main" id="{00000000-0008-0000-0500-0000A7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28575</xdr:colOff>
          <xdr:row>44</xdr:row>
          <xdr:rowOff>161925</xdr:rowOff>
        </xdr:from>
        <xdr:to>
          <xdr:col>11</xdr:col>
          <xdr:colOff>352425</xdr:colOff>
          <xdr:row>46</xdr:row>
          <xdr:rowOff>0</xdr:rowOff>
        </xdr:to>
        <xdr:sp macro="" textlink="">
          <xdr:nvSpPr>
            <xdr:cNvPr id="119847" name="Check Box 39" hidden="1">
              <a:extLst>
                <a:ext uri="{63B3BB69-23CF-44E3-9099-C40C66FF867C}">
                  <a14:compatExt spid="_x0000_s119847"/>
                </a:ext>
                <a:ext uri="{FF2B5EF4-FFF2-40B4-BE49-F238E27FC236}">
                  <a16:creationId xmlns="" xmlns:a16="http://schemas.microsoft.com/office/drawing/2014/main" id="{00000000-0008-0000-0500-0000A8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44</xdr:row>
          <xdr:rowOff>161925</xdr:rowOff>
        </xdr:from>
        <xdr:to>
          <xdr:col>12</xdr:col>
          <xdr:colOff>200025</xdr:colOff>
          <xdr:row>46</xdr:row>
          <xdr:rowOff>0</xdr:rowOff>
        </xdr:to>
        <xdr:sp macro="" textlink="">
          <xdr:nvSpPr>
            <xdr:cNvPr id="119848" name="Check Box 40" hidden="1">
              <a:extLst>
                <a:ext uri="{63B3BB69-23CF-44E3-9099-C40C66FF867C}">
                  <a14:compatExt spid="_x0000_s119848"/>
                </a:ext>
                <a:ext uri="{FF2B5EF4-FFF2-40B4-BE49-F238E27FC236}">
                  <a16:creationId xmlns="" xmlns:a16="http://schemas.microsoft.com/office/drawing/2014/main" id="{00000000-0008-0000-0500-0000A9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35</xdr:row>
          <xdr:rowOff>152400</xdr:rowOff>
        </xdr:from>
        <xdr:to>
          <xdr:col>6</xdr:col>
          <xdr:colOff>161925</xdr:colOff>
          <xdr:row>37</xdr:row>
          <xdr:rowOff>38100</xdr:rowOff>
        </xdr:to>
        <xdr:sp macro="" textlink="">
          <xdr:nvSpPr>
            <xdr:cNvPr id="119849" name="Check Box 41" hidden="1">
              <a:extLst>
                <a:ext uri="{63B3BB69-23CF-44E3-9099-C40C66FF867C}">
                  <a14:compatExt spid="_x0000_s119849"/>
                </a:ext>
                <a:ext uri="{FF2B5EF4-FFF2-40B4-BE49-F238E27FC236}">
                  <a16:creationId xmlns="" xmlns:a16="http://schemas.microsoft.com/office/drawing/2014/main" id="{00000000-0008-0000-0500-0000AC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 Dimensional results (ISIR)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38</xdr:row>
          <xdr:rowOff>123825</xdr:rowOff>
        </xdr:from>
        <xdr:to>
          <xdr:col>11</xdr:col>
          <xdr:colOff>9525</xdr:colOff>
          <xdr:row>40</xdr:row>
          <xdr:rowOff>28575</xdr:rowOff>
        </xdr:to>
        <xdr:sp macro="" textlink="">
          <xdr:nvSpPr>
            <xdr:cNvPr id="119850" name="Check Box 42" hidden="1">
              <a:extLst>
                <a:ext uri="{63B3BB69-23CF-44E3-9099-C40C66FF867C}">
                  <a14:compatExt spid="_x0000_s119850"/>
                </a:ext>
                <a:ext uri="{FF2B5EF4-FFF2-40B4-BE49-F238E27FC236}">
                  <a16:creationId xmlns="" xmlns:a16="http://schemas.microsoft.com/office/drawing/2014/main" id="{00000000-0008-0000-0500-0000AE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5c. Print Notes: Functional Tests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37</xdr:row>
          <xdr:rowOff>142875</xdr:rowOff>
        </xdr:from>
        <xdr:to>
          <xdr:col>11</xdr:col>
          <xdr:colOff>276225</xdr:colOff>
          <xdr:row>39</xdr:row>
          <xdr:rowOff>28575</xdr:rowOff>
        </xdr:to>
        <xdr:sp macro="" textlink="">
          <xdr:nvSpPr>
            <xdr:cNvPr id="119851" name="Check Box 43" hidden="1">
              <a:extLst>
                <a:ext uri="{63B3BB69-23CF-44E3-9099-C40C66FF867C}">
                  <a14:compatExt spid="_x0000_s119851"/>
                </a:ext>
                <a:ext uri="{FF2B5EF4-FFF2-40B4-BE49-F238E27FC236}">
                  <a16:creationId xmlns="" xmlns:a16="http://schemas.microsoft.com/office/drawing/2014/main" id="{00000000-0008-0000-0500-0000AF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5b. Print Notes: Surface Finish Tests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36</xdr:row>
          <xdr:rowOff>152400</xdr:rowOff>
        </xdr:from>
        <xdr:to>
          <xdr:col>17</xdr:col>
          <xdr:colOff>161925</xdr:colOff>
          <xdr:row>38</xdr:row>
          <xdr:rowOff>38100</xdr:rowOff>
        </xdr:to>
        <xdr:sp macro="" textlink="">
          <xdr:nvSpPr>
            <xdr:cNvPr id="119852" name="Check Box 44" hidden="1">
              <a:extLst>
                <a:ext uri="{63B3BB69-23CF-44E3-9099-C40C66FF867C}">
                  <a14:compatExt spid="_x0000_s119852"/>
                </a:ext>
                <a:ext uri="{FF2B5EF4-FFF2-40B4-BE49-F238E27FC236}">
                  <a16:creationId xmlns="" xmlns:a16="http://schemas.microsoft.com/office/drawing/2014/main" id="{00000000-0008-0000-0500-0000B0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5d. Print Notes: Part Identification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36</xdr:row>
          <xdr:rowOff>152400</xdr:rowOff>
        </xdr:from>
        <xdr:to>
          <xdr:col>6</xdr:col>
          <xdr:colOff>200025</xdr:colOff>
          <xdr:row>38</xdr:row>
          <xdr:rowOff>38100</xdr:rowOff>
        </xdr:to>
        <xdr:sp macro="" textlink="">
          <xdr:nvSpPr>
            <xdr:cNvPr id="119853" name="Check Box 45" hidden="1">
              <a:extLst>
                <a:ext uri="{63B3BB69-23CF-44E3-9099-C40C66FF867C}">
                  <a14:compatExt spid="_x0000_s119853"/>
                </a:ext>
                <a:ext uri="{FF2B5EF4-FFF2-40B4-BE49-F238E27FC236}">
                  <a16:creationId xmlns="" xmlns:a16="http://schemas.microsoft.com/office/drawing/2014/main" id="{00000000-0008-0000-0500-0000B1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 Design Record / Drawing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37</xdr:row>
          <xdr:rowOff>142875</xdr:rowOff>
        </xdr:from>
        <xdr:to>
          <xdr:col>17</xdr:col>
          <xdr:colOff>495300</xdr:colOff>
          <xdr:row>39</xdr:row>
          <xdr:rowOff>28575</xdr:rowOff>
        </xdr:to>
        <xdr:sp macro="" textlink="">
          <xdr:nvSpPr>
            <xdr:cNvPr id="119854" name="Check Box 46" hidden="1">
              <a:extLst>
                <a:ext uri="{63B3BB69-23CF-44E3-9099-C40C66FF867C}">
                  <a14:compatExt spid="_x0000_s119854"/>
                </a:ext>
                <a:ext uri="{FF2B5EF4-FFF2-40B4-BE49-F238E27FC236}">
                  <a16:creationId xmlns="" xmlns:a16="http://schemas.microsoft.com/office/drawing/2014/main" id="{00000000-0008-0000-0500-0000B2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5e. Print Notes: Paint, Plating, Coating Tests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38</xdr:row>
          <xdr:rowOff>123825</xdr:rowOff>
        </xdr:from>
        <xdr:to>
          <xdr:col>14</xdr:col>
          <xdr:colOff>85725</xdr:colOff>
          <xdr:row>40</xdr:row>
          <xdr:rowOff>28575</xdr:rowOff>
        </xdr:to>
        <xdr:sp macro="" textlink="">
          <xdr:nvSpPr>
            <xdr:cNvPr id="119855" name="Check Box 47" hidden="1">
              <a:extLst>
                <a:ext uri="{63B3BB69-23CF-44E3-9099-C40C66FF867C}">
                  <a14:compatExt spid="_x0000_s119855"/>
                </a:ext>
                <a:ext uri="{FF2B5EF4-FFF2-40B4-BE49-F238E27FC236}">
                  <a16:creationId xmlns="" xmlns:a16="http://schemas.microsoft.com/office/drawing/2014/main" id="{00000000-0008-0000-0500-0000B55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5f. Welding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0</xdr:rowOff>
        </xdr:from>
        <xdr:to>
          <xdr:col>2</xdr:col>
          <xdr:colOff>0</xdr:colOff>
          <xdr:row>47</xdr:row>
          <xdr:rowOff>47625</xdr:rowOff>
        </xdr:to>
        <xdr:sp macro="" textlink="">
          <xdr:nvSpPr>
            <xdr:cNvPr id="119856" name="Check Box 48" hidden="1">
              <a:extLst>
                <a:ext uri="{63B3BB69-23CF-44E3-9099-C40C66FF867C}">
                  <a14:compatExt spid="_x0000_s119856"/>
                </a:ext>
                <a:ext uri="{FF2B5EF4-FFF2-40B4-BE49-F238E27FC236}">
                  <a16:creationId xmlns="" xmlns:a16="http://schemas.microsoft.com/office/drawing/2014/main" id="{00000000-0008-0000-0500-00006D5B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8</xdr:col>
          <xdr:colOff>219075</xdr:colOff>
          <xdr:row>49</xdr:row>
          <xdr:rowOff>66675</xdr:rowOff>
        </xdr:to>
        <xdr:sp macro="" textlink="">
          <xdr:nvSpPr>
            <xdr:cNvPr id="119857" name="Check Box 49" hidden="1">
              <a:extLst>
                <a:ext uri="{63B3BB69-23CF-44E3-9099-C40C66FF867C}">
                  <a14:compatExt spid="_x0000_s119857"/>
                </a:ext>
                <a:ext uri="{FF2B5EF4-FFF2-40B4-BE49-F238E27FC236}">
                  <a16:creationId xmlns="" xmlns:a16="http://schemas.microsoft.com/office/drawing/2014/main" id="{00000000-0008-0000-0500-0000715B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Part Submission Warrant (PSW)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161925</xdr:rowOff>
        </xdr:from>
        <xdr:to>
          <xdr:col>6</xdr:col>
          <xdr:colOff>200025</xdr:colOff>
          <xdr:row>50</xdr:row>
          <xdr:rowOff>47625</xdr:rowOff>
        </xdr:to>
        <xdr:sp macro="" textlink="">
          <xdr:nvSpPr>
            <xdr:cNvPr id="119858" name="Check Box 50" hidden="1">
              <a:extLst>
                <a:ext uri="{63B3BB69-23CF-44E3-9099-C40C66FF867C}">
                  <a14:compatExt spid="_x0000_s119858"/>
                </a:ext>
                <a:ext uri="{FF2B5EF4-FFF2-40B4-BE49-F238E27FC236}">
                  <a16:creationId xmlns="" xmlns:a16="http://schemas.microsoft.com/office/drawing/2014/main" id="{00000000-0008-0000-0500-0000725B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 Dimensional results (ISIR)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51</xdr:row>
          <xdr:rowOff>142875</xdr:rowOff>
        </xdr:from>
        <xdr:to>
          <xdr:col>10</xdr:col>
          <xdr:colOff>190500</xdr:colOff>
          <xdr:row>53</xdr:row>
          <xdr:rowOff>28575</xdr:rowOff>
        </xdr:to>
        <xdr:sp macro="" textlink="">
          <xdr:nvSpPr>
            <xdr:cNvPr id="119859" name="Check Box 51" hidden="1">
              <a:extLst>
                <a:ext uri="{63B3BB69-23CF-44E3-9099-C40C66FF867C}">
                  <a14:compatExt spid="_x0000_s119859"/>
                </a:ext>
                <a:ext uri="{FF2B5EF4-FFF2-40B4-BE49-F238E27FC236}">
                  <a16:creationId xmlns="" xmlns:a16="http://schemas.microsoft.com/office/drawing/2014/main" id="{00000000-0008-0000-0500-0000755B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51</xdr:row>
          <xdr:rowOff>142875</xdr:rowOff>
        </xdr:from>
        <xdr:to>
          <xdr:col>10</xdr:col>
          <xdr:colOff>495300</xdr:colOff>
          <xdr:row>53</xdr:row>
          <xdr:rowOff>28575</xdr:rowOff>
        </xdr:to>
        <xdr:sp macro="" textlink="">
          <xdr:nvSpPr>
            <xdr:cNvPr id="119860" name="Check Box 52" hidden="1">
              <a:extLst>
                <a:ext uri="{63B3BB69-23CF-44E3-9099-C40C66FF867C}">
                  <a14:compatExt spid="_x0000_s119860"/>
                </a:ext>
                <a:ext uri="{FF2B5EF4-FFF2-40B4-BE49-F238E27FC236}">
                  <a16:creationId xmlns="" xmlns:a16="http://schemas.microsoft.com/office/drawing/2014/main" id="{00000000-0008-0000-0500-0000765B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51</xdr:row>
          <xdr:rowOff>142875</xdr:rowOff>
        </xdr:from>
        <xdr:to>
          <xdr:col>11</xdr:col>
          <xdr:colOff>190500</xdr:colOff>
          <xdr:row>53</xdr:row>
          <xdr:rowOff>28575</xdr:rowOff>
        </xdr:to>
        <xdr:sp macro="" textlink="">
          <xdr:nvSpPr>
            <xdr:cNvPr id="119861" name="Check Box 53" hidden="1">
              <a:extLst>
                <a:ext uri="{63B3BB69-23CF-44E3-9099-C40C66FF867C}">
                  <a14:compatExt spid="_x0000_s119861"/>
                </a:ext>
                <a:ext uri="{FF2B5EF4-FFF2-40B4-BE49-F238E27FC236}">
                  <a16:creationId xmlns="" xmlns:a16="http://schemas.microsoft.com/office/drawing/2014/main" id="{00000000-0008-0000-0500-0000775B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37</xdr:row>
          <xdr:rowOff>142875</xdr:rowOff>
        </xdr:from>
        <xdr:to>
          <xdr:col>5</xdr:col>
          <xdr:colOff>9525</xdr:colOff>
          <xdr:row>39</xdr:row>
          <xdr:rowOff>28575</xdr:rowOff>
        </xdr:to>
        <xdr:sp macro="" textlink="">
          <xdr:nvSpPr>
            <xdr:cNvPr id="119862" name="Check Box 54" hidden="1">
              <a:extLst>
                <a:ext uri="{63B3BB69-23CF-44E3-9099-C40C66FF867C}">
                  <a14:compatExt spid="_x0000_s119862"/>
                </a:ext>
                <a:ext uri="{FF2B5EF4-FFF2-40B4-BE49-F238E27FC236}">
                  <a16:creationId xmlns="" xmlns:a16="http://schemas.microsoft.com/office/drawing/2014/main" id="{00000000-0008-0000-0500-00007A1A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 PPAP Samples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38</xdr:row>
          <xdr:rowOff>142875</xdr:rowOff>
        </xdr:from>
        <xdr:to>
          <xdr:col>7</xdr:col>
          <xdr:colOff>85725</xdr:colOff>
          <xdr:row>40</xdr:row>
          <xdr:rowOff>28575</xdr:rowOff>
        </xdr:to>
        <xdr:sp macro="" textlink="">
          <xdr:nvSpPr>
            <xdr:cNvPr id="119863" name="Check Box 55" hidden="1">
              <a:extLst>
                <a:ext uri="{63B3BB69-23CF-44E3-9099-C40C66FF867C}">
                  <a14:compatExt spid="_x0000_s119863"/>
                </a:ext>
                <a:ext uri="{FF2B5EF4-FFF2-40B4-BE49-F238E27FC236}">
                  <a16:creationId xmlns="" xmlns:a16="http://schemas.microsoft.com/office/drawing/2014/main" id="{00000000-0008-0000-0500-00007B1A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Print Notes (check all that apply)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39</xdr:row>
          <xdr:rowOff>142875</xdr:rowOff>
        </xdr:from>
        <xdr:to>
          <xdr:col>8</xdr:col>
          <xdr:colOff>371475</xdr:colOff>
          <xdr:row>41</xdr:row>
          <xdr:rowOff>28575</xdr:rowOff>
        </xdr:to>
        <xdr:sp macro="" textlink="">
          <xdr:nvSpPr>
            <xdr:cNvPr id="119864" name="Check Box 56" hidden="1">
              <a:extLst>
                <a:ext uri="{63B3BB69-23CF-44E3-9099-C40C66FF867C}">
                  <a14:compatExt spid="_x0000_s119864"/>
                </a:ext>
                <a:ext uri="{FF2B5EF4-FFF2-40B4-BE49-F238E27FC236}">
                  <a16:creationId xmlns="" xmlns:a16="http://schemas.microsoft.com/office/drawing/2014/main" id="{00000000-0008-0000-0500-00007C1A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6. Engineering Change Records / Deviations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142875</xdr:rowOff>
        </xdr:from>
        <xdr:to>
          <xdr:col>6</xdr:col>
          <xdr:colOff>238125</xdr:colOff>
          <xdr:row>51</xdr:row>
          <xdr:rowOff>28575</xdr:rowOff>
        </xdr:to>
        <xdr:sp macro="" textlink="">
          <xdr:nvSpPr>
            <xdr:cNvPr id="119865" name="Check Box 57" hidden="1">
              <a:extLst>
                <a:ext uri="{63B3BB69-23CF-44E3-9099-C40C66FF867C}">
                  <a14:compatExt spid="_x0000_s119865"/>
                </a:ext>
                <a:ext uri="{FF2B5EF4-FFF2-40B4-BE49-F238E27FC236}">
                  <a16:creationId xmlns="" xmlns:a16="http://schemas.microsoft.com/office/drawing/2014/main" id="{00000000-0008-0000-0500-00007D1A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 Design Record / Drawing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123825</xdr:rowOff>
        </xdr:from>
        <xdr:to>
          <xdr:col>5</xdr:col>
          <xdr:colOff>47625</xdr:colOff>
          <xdr:row>52</xdr:row>
          <xdr:rowOff>28575</xdr:rowOff>
        </xdr:to>
        <xdr:sp macro="" textlink="">
          <xdr:nvSpPr>
            <xdr:cNvPr id="119866" name="Check Box 58" hidden="1">
              <a:extLst>
                <a:ext uri="{63B3BB69-23CF-44E3-9099-C40C66FF867C}">
                  <a14:compatExt spid="_x0000_s119866"/>
                </a:ext>
                <a:ext uri="{FF2B5EF4-FFF2-40B4-BE49-F238E27FC236}">
                  <a16:creationId xmlns="" xmlns:a16="http://schemas.microsoft.com/office/drawing/2014/main" id="{00000000-0008-0000-0500-00007E1A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 PPAP Samples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45720</xdr:colOff>
          <xdr:row>21</xdr:row>
          <xdr:rowOff>152400</xdr:rowOff>
        </xdr:from>
        <xdr:to>
          <xdr:col>3</xdr:col>
          <xdr:colOff>205740</xdr:colOff>
          <xdr:row>23</xdr:row>
          <xdr:rowOff>38100</xdr:rowOff>
        </xdr:to>
        <xdr:grpSp>
          <xdr:nvGrpSpPr>
            <xdr:cNvPr id="81" name="Group 2243">
              <a:extLst>
                <a:ext uri="{FF2B5EF4-FFF2-40B4-BE49-F238E27FC236}">
                  <a16:creationId xmlns="" xmlns:a16="http://schemas.microsoft.com/office/drawing/2014/main" id="{00000000-0008-0000-0500-000076AC4F00}"/>
                </a:ext>
              </a:extLst>
            </xdr:cNvPr>
            <xdr:cNvGrpSpPr>
              <a:grpSpLocks/>
            </xdr:cNvGrpSpPr>
          </xdr:nvGrpSpPr>
          <xdr:grpSpPr bwMode="auto">
            <a:xfrm>
              <a:off x="150500" y="3143250"/>
              <a:ext cx="845821" cy="247650"/>
              <a:chOff x="452" y="376"/>
              <a:chExt cx="88" cy="22"/>
            </a:xfrm>
          </xdr:grpSpPr>
          <xdr:sp macro="" textlink="">
            <xdr:nvSpPr>
              <xdr:cNvPr id="119867" name="Check Box 59" hidden="1">
                <a:extLst>
                  <a:ext uri="{63B3BB69-23CF-44E3-9099-C40C66FF867C}">
                    <a14:compatExt spid="_x0000_s119867"/>
                  </a:ext>
                  <a:ext uri="{FF2B5EF4-FFF2-40B4-BE49-F238E27FC236}">
                    <a16:creationId xmlns="" xmlns:a16="http://schemas.microsoft.com/office/drawing/2014/main" id="{00000000-0008-0000-0500-0000C4DC1B00}"/>
                  </a:ext>
                </a:extLst>
              </xdr:cNvPr>
              <xdr:cNvSpPr/>
            </xdr:nvSpPr>
            <xdr:spPr bwMode="auto">
              <a:xfrm>
                <a:off x="452" y="376"/>
                <a:ext cx="50" cy="22"/>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19868" name="Check Box 60" hidden="1">
                <a:extLst>
                  <a:ext uri="{63B3BB69-23CF-44E3-9099-C40C66FF867C}">
                    <a14:compatExt spid="_x0000_s119868"/>
                  </a:ext>
                  <a:ext uri="{FF2B5EF4-FFF2-40B4-BE49-F238E27FC236}">
                    <a16:creationId xmlns="" xmlns:a16="http://schemas.microsoft.com/office/drawing/2014/main" id="{00000000-0008-0000-0500-0000C5DC1B00}"/>
                  </a:ext>
                </a:extLst>
              </xdr:cNvPr>
              <xdr:cNvSpPr/>
            </xdr:nvSpPr>
            <xdr:spPr bwMode="auto">
              <a:xfrm>
                <a:off x="499" y="376"/>
                <a:ext cx="41" cy="22"/>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44</xdr:row>
          <xdr:rowOff>161925</xdr:rowOff>
        </xdr:from>
        <xdr:to>
          <xdr:col>13</xdr:col>
          <xdr:colOff>38100</xdr:colOff>
          <xdr:row>46</xdr:row>
          <xdr:rowOff>0</xdr:rowOff>
        </xdr:to>
        <xdr:sp macro="" textlink="">
          <xdr:nvSpPr>
            <xdr:cNvPr id="119869" name="Check Box 61" hidden="1">
              <a:extLst>
                <a:ext uri="{63B3BB69-23CF-44E3-9099-C40C66FF867C}">
                  <a14:compatExt spid="_x0000_s119869"/>
                </a:ext>
                <a:ext uri="{FF2B5EF4-FFF2-40B4-BE49-F238E27FC236}">
                  <a16:creationId xmlns="" xmlns:a16="http://schemas.microsoft.com/office/drawing/2014/main" id="{00000000-0008-0000-0500-0000B43F2D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53340</xdr:colOff>
      <xdr:row>44</xdr:row>
      <xdr:rowOff>40640</xdr:rowOff>
    </xdr:from>
    <xdr:to>
      <xdr:col>12</xdr:col>
      <xdr:colOff>338399</xdr:colOff>
      <xdr:row>45</xdr:row>
      <xdr:rowOff>27090</xdr:rowOff>
    </xdr:to>
    <xdr:sp macro="" textlink="">
      <xdr:nvSpPr>
        <xdr:cNvPr id="85" name="Rectangle 90">
          <a:extLst>
            <a:ext uri="{FF2B5EF4-FFF2-40B4-BE49-F238E27FC236}">
              <a16:creationId xmlns="" xmlns:a16="http://schemas.microsoft.com/office/drawing/2014/main" id="{00000000-0008-0000-0500-000056000000}"/>
            </a:ext>
          </a:extLst>
        </xdr:cNvPr>
        <xdr:cNvSpPr>
          <a:spLocks noChangeArrowheads="1"/>
        </xdr:cNvSpPr>
      </xdr:nvSpPr>
      <xdr:spPr bwMode="auto">
        <a:xfrm>
          <a:off x="4311015" y="6489065"/>
          <a:ext cx="285059" cy="1483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18</a:t>
          </a:r>
        </a:p>
      </xdr:txBody>
    </xdr:sp>
    <xdr:clientData/>
  </xdr:twoCellAnchor>
  <xdr:oneCellAnchor>
    <xdr:from>
      <xdr:col>1</xdr:col>
      <xdr:colOff>0</xdr:colOff>
      <xdr:row>0</xdr:row>
      <xdr:rowOff>0</xdr:rowOff>
    </xdr:from>
    <xdr:ext cx="2161309" cy="457200"/>
    <xdr:pic>
      <xdr:nvPicPr>
        <xdr:cNvPr id="86" name="Picture 85" descr="AAR_DIR_MobilitySystems"/>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775" y="0"/>
          <a:ext cx="2161309" cy="45720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7</xdr:col>
      <xdr:colOff>276225</xdr:colOff>
      <xdr:row>11</xdr:row>
      <xdr:rowOff>352425</xdr:rowOff>
    </xdr:from>
    <xdr:to>
      <xdr:col>7</xdr:col>
      <xdr:colOff>276225</xdr:colOff>
      <xdr:row>11</xdr:row>
      <xdr:rowOff>352425</xdr:rowOff>
    </xdr:to>
    <xdr:sp macro="" textlink="">
      <xdr:nvSpPr>
        <xdr:cNvPr id="35845" name="Line 5"/>
        <xdr:cNvSpPr>
          <a:spLocks noChangeShapeType="1"/>
        </xdr:cNvSpPr>
      </xdr:nvSpPr>
      <xdr:spPr bwMode="auto">
        <a:xfrm>
          <a:off x="4476750" y="2600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276225</xdr:colOff>
      <xdr:row>10</xdr:row>
      <xdr:rowOff>352425</xdr:rowOff>
    </xdr:from>
    <xdr:to>
      <xdr:col>7</xdr:col>
      <xdr:colOff>276225</xdr:colOff>
      <xdr:row>10</xdr:row>
      <xdr:rowOff>352425</xdr:rowOff>
    </xdr:to>
    <xdr:sp macro="" textlink="">
      <xdr:nvSpPr>
        <xdr:cNvPr id="35851" name="Line 11"/>
        <xdr:cNvSpPr>
          <a:spLocks noChangeShapeType="1"/>
        </xdr:cNvSpPr>
      </xdr:nvSpPr>
      <xdr:spPr bwMode="auto">
        <a:xfrm>
          <a:off x="4476750" y="242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47625</xdr:colOff>
      <xdr:row>0</xdr:row>
      <xdr:rowOff>114300</xdr:rowOff>
    </xdr:from>
    <xdr:to>
      <xdr:col>3</xdr:col>
      <xdr:colOff>400050</xdr:colOff>
      <xdr:row>1</xdr:row>
      <xdr:rowOff>342900</xdr:rowOff>
    </xdr:to>
    <xdr:pic>
      <xdr:nvPicPr>
        <xdr:cNvPr id="5" name="Picture 4"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14300"/>
          <a:ext cx="2105025" cy="4572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276225</xdr:colOff>
      <xdr:row>11</xdr:row>
      <xdr:rowOff>352425</xdr:rowOff>
    </xdr:from>
    <xdr:to>
      <xdr:col>7</xdr:col>
      <xdr:colOff>276225</xdr:colOff>
      <xdr:row>11</xdr:row>
      <xdr:rowOff>352425</xdr:rowOff>
    </xdr:to>
    <xdr:sp macro="" textlink="">
      <xdr:nvSpPr>
        <xdr:cNvPr id="109569" name="Line 1"/>
        <xdr:cNvSpPr>
          <a:spLocks noChangeShapeType="1"/>
        </xdr:cNvSpPr>
      </xdr:nvSpPr>
      <xdr:spPr bwMode="auto">
        <a:xfrm>
          <a:off x="4476750" y="2600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276225</xdr:colOff>
      <xdr:row>10</xdr:row>
      <xdr:rowOff>352425</xdr:rowOff>
    </xdr:from>
    <xdr:to>
      <xdr:col>7</xdr:col>
      <xdr:colOff>276225</xdr:colOff>
      <xdr:row>10</xdr:row>
      <xdr:rowOff>352425</xdr:rowOff>
    </xdr:to>
    <xdr:sp macro="" textlink="">
      <xdr:nvSpPr>
        <xdr:cNvPr id="109570" name="Line 2"/>
        <xdr:cNvSpPr>
          <a:spLocks noChangeShapeType="1"/>
        </xdr:cNvSpPr>
      </xdr:nvSpPr>
      <xdr:spPr bwMode="auto">
        <a:xfrm>
          <a:off x="4476750" y="242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38100</xdr:colOff>
      <xdr:row>0</xdr:row>
      <xdr:rowOff>47625</xdr:rowOff>
    </xdr:from>
    <xdr:to>
      <xdr:col>3</xdr:col>
      <xdr:colOff>390525</xdr:colOff>
      <xdr:row>1</xdr:row>
      <xdr:rowOff>276225</xdr:rowOff>
    </xdr:to>
    <xdr:pic>
      <xdr:nvPicPr>
        <xdr:cNvPr id="5" name="Picture 4"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2105025" cy="4572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276225</xdr:colOff>
      <xdr:row>11</xdr:row>
      <xdr:rowOff>352425</xdr:rowOff>
    </xdr:from>
    <xdr:to>
      <xdr:col>7</xdr:col>
      <xdr:colOff>276225</xdr:colOff>
      <xdr:row>11</xdr:row>
      <xdr:rowOff>352425</xdr:rowOff>
    </xdr:to>
    <xdr:sp macro="" textlink="">
      <xdr:nvSpPr>
        <xdr:cNvPr id="110593" name="Line 1"/>
        <xdr:cNvSpPr>
          <a:spLocks noChangeShapeType="1"/>
        </xdr:cNvSpPr>
      </xdr:nvSpPr>
      <xdr:spPr bwMode="auto">
        <a:xfrm>
          <a:off x="4572000" y="2600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276225</xdr:colOff>
      <xdr:row>10</xdr:row>
      <xdr:rowOff>352425</xdr:rowOff>
    </xdr:from>
    <xdr:to>
      <xdr:col>7</xdr:col>
      <xdr:colOff>276225</xdr:colOff>
      <xdr:row>10</xdr:row>
      <xdr:rowOff>352425</xdr:rowOff>
    </xdr:to>
    <xdr:sp macro="" textlink="">
      <xdr:nvSpPr>
        <xdr:cNvPr id="110594" name="Line 2"/>
        <xdr:cNvSpPr>
          <a:spLocks noChangeShapeType="1"/>
        </xdr:cNvSpPr>
      </xdr:nvSpPr>
      <xdr:spPr bwMode="auto">
        <a:xfrm>
          <a:off x="4572000" y="242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28575</xdr:colOff>
      <xdr:row>0</xdr:row>
      <xdr:rowOff>76200</xdr:rowOff>
    </xdr:from>
    <xdr:to>
      <xdr:col>3</xdr:col>
      <xdr:colOff>161925</xdr:colOff>
      <xdr:row>1</xdr:row>
      <xdr:rowOff>304800</xdr:rowOff>
    </xdr:to>
    <xdr:pic>
      <xdr:nvPicPr>
        <xdr:cNvPr id="5" name="Picture 4"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76200"/>
          <a:ext cx="2105025" cy="4572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276225</xdr:colOff>
      <xdr:row>11</xdr:row>
      <xdr:rowOff>352425</xdr:rowOff>
    </xdr:from>
    <xdr:to>
      <xdr:col>7</xdr:col>
      <xdr:colOff>276225</xdr:colOff>
      <xdr:row>11</xdr:row>
      <xdr:rowOff>352425</xdr:rowOff>
    </xdr:to>
    <xdr:sp macro="" textlink="">
      <xdr:nvSpPr>
        <xdr:cNvPr id="111617" name="Line 1"/>
        <xdr:cNvSpPr>
          <a:spLocks noChangeShapeType="1"/>
        </xdr:cNvSpPr>
      </xdr:nvSpPr>
      <xdr:spPr bwMode="auto">
        <a:xfrm>
          <a:off x="4838700" y="2600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276225</xdr:colOff>
      <xdr:row>10</xdr:row>
      <xdr:rowOff>352425</xdr:rowOff>
    </xdr:from>
    <xdr:to>
      <xdr:col>7</xdr:col>
      <xdr:colOff>276225</xdr:colOff>
      <xdr:row>10</xdr:row>
      <xdr:rowOff>352425</xdr:rowOff>
    </xdr:to>
    <xdr:sp macro="" textlink="">
      <xdr:nvSpPr>
        <xdr:cNvPr id="111618" name="Line 2"/>
        <xdr:cNvSpPr>
          <a:spLocks noChangeShapeType="1"/>
        </xdr:cNvSpPr>
      </xdr:nvSpPr>
      <xdr:spPr bwMode="auto">
        <a:xfrm>
          <a:off x="4838700" y="242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276225</xdr:colOff>
      <xdr:row>11</xdr:row>
      <xdr:rowOff>352425</xdr:rowOff>
    </xdr:from>
    <xdr:to>
      <xdr:col>9</xdr:col>
      <xdr:colOff>276225</xdr:colOff>
      <xdr:row>11</xdr:row>
      <xdr:rowOff>352425</xdr:rowOff>
    </xdr:to>
    <xdr:sp macro="" textlink="">
      <xdr:nvSpPr>
        <xdr:cNvPr id="111620" name="Line 4"/>
        <xdr:cNvSpPr>
          <a:spLocks noChangeShapeType="1"/>
        </xdr:cNvSpPr>
      </xdr:nvSpPr>
      <xdr:spPr bwMode="auto">
        <a:xfrm>
          <a:off x="6534150" y="2600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57150</xdr:colOff>
      <xdr:row>0</xdr:row>
      <xdr:rowOff>123825</xdr:rowOff>
    </xdr:from>
    <xdr:to>
      <xdr:col>3</xdr:col>
      <xdr:colOff>409575</xdr:colOff>
      <xdr:row>1</xdr:row>
      <xdr:rowOff>352425</xdr:rowOff>
    </xdr:to>
    <xdr:pic>
      <xdr:nvPicPr>
        <xdr:cNvPr id="6" name="Picture 5" descr="AAR_DIR_MobilitySystem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23825"/>
          <a:ext cx="2105025" cy="457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nterprise.osk.corp.truck/gpsc/sqe/Shared%20Documents/PLANNING/GREEN%20BELT%20-%20FUEL%20LEVEL%20ACCURACY/GREEN%20BELT%20-%20TOOLS/moresteamcapabili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NING/GREEN%20BELT%20-%20FUEL%20LEVEL%20ACCURACY/GREEN%20BELT%20-%20TOOLS/moresteamcapabil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enterprise.osk.corp.truck/gpsc/sqe/Shared%20Documents/PLANNING/GREEN%20BELT%20-%20FUEL%20LEVEL%20ACCURACY/GREEN%20BELT%20-%20TOOLS/NonParametricTempla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NING/GREEN%20BELT%20-%20FUEL%20LEVEL%20ACCURACY/GREEN%20BELT%20-%20TOOLS/NonParametricTempla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r"/>
      <sheetName val="Process Capability Calculation"/>
      <sheetName val="Estimate Standard Deviation"/>
      <sheetName val="Behind the scenes"/>
    </sheetNames>
    <sheetDataSet>
      <sheetData sheetId="0" refreshError="1"/>
      <sheetData sheetId="1" refreshError="1"/>
      <sheetData sheetId="2">
        <row r="2">
          <cell r="B2" t="str">
            <v>Estimate Standard Deviation</v>
          </cell>
        </row>
      </sheetData>
      <sheetData sheetId="3">
        <row r="88">
          <cell r="L88">
            <v>-17</v>
          </cell>
        </row>
        <row r="89">
          <cell r="A89">
            <v>13</v>
          </cell>
          <cell r="B89">
            <v>13.317600014929141</v>
          </cell>
          <cell r="E89">
            <v>0</v>
          </cell>
          <cell r="F89">
            <v>0</v>
          </cell>
          <cell r="H89">
            <v>8.08</v>
          </cell>
        </row>
        <row r="90">
          <cell r="L90">
            <v>28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r"/>
      <sheetName val="Process Capability Calculation"/>
      <sheetName val="Estimate Standard Deviation"/>
      <sheetName val="Behind the scenes"/>
    </sheetNames>
    <sheetDataSet>
      <sheetData sheetId="0" refreshError="1"/>
      <sheetData sheetId="1" refreshError="1"/>
      <sheetData sheetId="2">
        <row r="2">
          <cell r="B2" t="str">
            <v>Estimate Standard Deviation</v>
          </cell>
        </row>
      </sheetData>
      <sheetData sheetId="3">
        <row r="88">
          <cell r="L88">
            <v>-17</v>
          </cell>
        </row>
        <row r="89">
          <cell r="A89">
            <v>13</v>
          </cell>
          <cell r="B89">
            <v>13.317600014929141</v>
          </cell>
          <cell r="E89">
            <v>0</v>
          </cell>
          <cell r="F89">
            <v>0</v>
          </cell>
          <cell r="H89">
            <v>8.08</v>
          </cell>
        </row>
        <row r="90">
          <cell r="L90">
            <v>28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r"/>
      <sheetName val="Map"/>
      <sheetName val="OneSampleSignTest"/>
      <sheetName val="OneSampleWilcoxon"/>
      <sheetName val="PairedSamplesSignTest"/>
      <sheetName val="PairedSamplesWilcoxon"/>
      <sheetName val="MannWhitney"/>
      <sheetName val="KruskalWallis"/>
      <sheetName val="Friedman"/>
    </sheetNames>
    <sheetDataSet>
      <sheetData sheetId="0" refreshError="1"/>
      <sheetData sheetId="1" refreshError="1"/>
      <sheetData sheetId="2">
        <row r="15">
          <cell r="K15" t="str">
            <v>DATA1</v>
          </cell>
        </row>
      </sheetData>
      <sheetData sheetId="3">
        <row r="15">
          <cell r="K15" t="str">
            <v>DATA1</v>
          </cell>
        </row>
      </sheetData>
      <sheetData sheetId="4">
        <row r="15">
          <cell r="K15" t="str">
            <v>DATA1</v>
          </cell>
          <cell r="L15" t="str">
            <v>DATA2</v>
          </cell>
        </row>
      </sheetData>
      <sheetData sheetId="5">
        <row r="15">
          <cell r="K15" t="str">
            <v>DATA1</v>
          </cell>
          <cell r="L15" t="str">
            <v>DATA2</v>
          </cell>
        </row>
      </sheetData>
      <sheetData sheetId="6">
        <row r="15">
          <cell r="K15" t="str">
            <v>DATA1</v>
          </cell>
          <cell r="L15" t="str">
            <v>DATA2</v>
          </cell>
        </row>
      </sheetData>
      <sheetData sheetId="7">
        <row r="6">
          <cell r="M6" t="str">
            <v xml:space="preserve">3) Paste data here, starting with these cells </v>
          </cell>
        </row>
        <row r="8">
          <cell r="O8" t="str">
            <v>&lt;--- 4) Click Run</v>
          </cell>
        </row>
        <row r="15">
          <cell r="K15" t="str">
            <v>DATA1</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 sheetId="8">
        <row r="6">
          <cell r="M6" t="str">
            <v>3) Paste data here, starting with these cells, blocking variable in first column</v>
          </cell>
        </row>
        <row r="8">
          <cell r="O8" t="str">
            <v>&lt;--- 4) Click Run</v>
          </cell>
        </row>
        <row r="15">
          <cell r="K15" t="str">
            <v>BLOCK</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r"/>
      <sheetName val="Map"/>
      <sheetName val="OneSampleSignTest"/>
      <sheetName val="OneSampleWilcoxon"/>
      <sheetName val="PairedSamplesSignTest"/>
      <sheetName val="PairedSamplesWilcoxon"/>
      <sheetName val="MannWhitney"/>
      <sheetName val="KruskalWallis"/>
      <sheetName val="Friedman"/>
    </sheetNames>
    <sheetDataSet>
      <sheetData sheetId="0" refreshError="1"/>
      <sheetData sheetId="1" refreshError="1"/>
      <sheetData sheetId="2">
        <row r="15">
          <cell r="K15" t="str">
            <v>DATA1</v>
          </cell>
        </row>
      </sheetData>
      <sheetData sheetId="3">
        <row r="15">
          <cell r="K15" t="str">
            <v>DATA1</v>
          </cell>
        </row>
      </sheetData>
      <sheetData sheetId="4">
        <row r="15">
          <cell r="K15" t="str">
            <v>DATA1</v>
          </cell>
          <cell r="L15" t="str">
            <v>DATA2</v>
          </cell>
        </row>
      </sheetData>
      <sheetData sheetId="5">
        <row r="15">
          <cell r="K15" t="str">
            <v>DATA1</v>
          </cell>
          <cell r="L15" t="str">
            <v>DATA2</v>
          </cell>
        </row>
      </sheetData>
      <sheetData sheetId="6">
        <row r="15">
          <cell r="K15" t="str">
            <v>DATA1</v>
          </cell>
          <cell r="L15" t="str">
            <v>DATA2</v>
          </cell>
        </row>
      </sheetData>
      <sheetData sheetId="7">
        <row r="6">
          <cell r="M6" t="str">
            <v xml:space="preserve">3) Paste data here, starting with these cells </v>
          </cell>
        </row>
        <row r="8">
          <cell r="O8" t="str">
            <v>&lt;--- 4) Click Run</v>
          </cell>
        </row>
        <row r="15">
          <cell r="K15" t="str">
            <v>DATA1</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 sheetId="8">
        <row r="6">
          <cell r="M6" t="str">
            <v>3) Paste data here, starting with these cells, blocking variable in first column</v>
          </cell>
        </row>
        <row r="8">
          <cell r="O8" t="str">
            <v>&lt;--- 4) Click Run</v>
          </cell>
        </row>
        <row r="15">
          <cell r="K15" t="str">
            <v>BLOCK</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6.xml"/><Relationship Id="rId3" Type="http://schemas.openxmlformats.org/officeDocument/2006/relationships/vmlDrawing" Target="../drawings/vmlDrawing2.vml"/><Relationship Id="rId7" Type="http://schemas.openxmlformats.org/officeDocument/2006/relationships/ctrlProp" Target="../ctrlProps/ctrlProp6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64.xml"/><Relationship Id="rId5" Type="http://schemas.openxmlformats.org/officeDocument/2006/relationships/ctrlProp" Target="../ctrlProps/ctrlProp63.xml"/><Relationship Id="rId4" Type="http://schemas.openxmlformats.org/officeDocument/2006/relationships/ctrlProp" Target="../ctrlProps/ctrlProp62.xml"/><Relationship Id="rId9" Type="http://schemas.openxmlformats.org/officeDocument/2006/relationships/ctrlProp" Target="../ctrlProps/ctrlProp6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trlProp" Target="../ctrlProps/ctrlProp6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3.bin"/><Relationship Id="rId5" Type="http://schemas.openxmlformats.org/officeDocument/2006/relationships/comments" Target="../comments1.xml"/><Relationship Id="rId4" Type="http://schemas.openxmlformats.org/officeDocument/2006/relationships/ctrlProp" Target="../ctrlProps/ctrlProp6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ctrlProp" Target="../ctrlProps/ctrlProp7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trlProp" Target="../ctrlProps/ctrlProp73.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trlProp" Target="../ctrlProps/ctrlProp7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comments" Target="../comments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adillacSupplier.Certs@aarcorp.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5.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pageSetUpPr fitToPage="1"/>
  </sheetPr>
  <dimension ref="A1:N49"/>
  <sheetViews>
    <sheetView topLeftCell="B1" zoomScaleNormal="100" workbookViewId="0">
      <selection activeCell="P36" sqref="P36"/>
    </sheetView>
  </sheetViews>
  <sheetFormatPr defaultColWidth="9.140625" defaultRowHeight="12.75"/>
  <cols>
    <col min="1" max="1" width="0" style="1" hidden="1" customWidth="1"/>
    <col min="2" max="2" width="3.42578125" style="1" customWidth="1"/>
    <col min="3" max="9" width="9.140625" style="1"/>
    <col min="10" max="10" width="12.7109375" style="1" customWidth="1"/>
    <col min="11" max="11" width="18" style="1" customWidth="1"/>
    <col min="12" max="16384" width="9.140625" style="1"/>
  </cols>
  <sheetData>
    <row r="1" spans="1:12" ht="13.5" thickBot="1"/>
    <row r="2" spans="1:12" ht="10.5" customHeight="1">
      <c r="A2" s="32"/>
      <c r="B2" s="4"/>
      <c r="C2" s="629" t="s">
        <v>262</v>
      </c>
      <c r="D2" s="629"/>
      <c r="E2" s="629"/>
      <c r="F2" s="629"/>
      <c r="G2" s="629"/>
      <c r="H2" s="629"/>
      <c r="I2" s="629"/>
      <c r="J2" s="629"/>
      <c r="K2" s="629"/>
      <c r="L2" s="629"/>
    </row>
    <row r="3" spans="1:12" ht="27" customHeight="1">
      <c r="A3" s="2"/>
      <c r="B3" s="2"/>
      <c r="C3" s="629"/>
      <c r="D3" s="629"/>
      <c r="E3" s="629"/>
      <c r="F3" s="629"/>
      <c r="G3" s="629"/>
      <c r="H3" s="629"/>
      <c r="I3" s="629"/>
      <c r="J3" s="629"/>
      <c r="K3" s="629"/>
      <c r="L3" s="629"/>
    </row>
    <row r="4" spans="1:12" ht="12.75" customHeight="1">
      <c r="A4" s="2"/>
      <c r="B4" s="2"/>
      <c r="C4" s="629"/>
      <c r="D4" s="629"/>
      <c r="E4" s="629"/>
      <c r="F4" s="629"/>
      <c r="G4" s="629"/>
      <c r="H4" s="629"/>
      <c r="I4" s="629"/>
      <c r="J4" s="629"/>
      <c r="K4" s="629"/>
      <c r="L4" s="629"/>
    </row>
    <row r="5" spans="1:12" ht="33.75">
      <c r="A5" s="2"/>
      <c r="B5" s="2"/>
      <c r="C5" s="487"/>
      <c r="D5" s="4"/>
      <c r="E5" s="4"/>
      <c r="F5" s="4"/>
      <c r="G5" s="4"/>
      <c r="H5" s="4"/>
      <c r="I5" s="4"/>
      <c r="J5" s="4"/>
      <c r="K5" s="4"/>
      <c r="L5" s="4"/>
    </row>
    <row r="6" spans="1:12">
      <c r="A6" s="2"/>
      <c r="B6" s="2"/>
      <c r="C6" s="4"/>
      <c r="D6" s="4"/>
      <c r="E6" s="4"/>
      <c r="F6" s="4"/>
      <c r="G6" s="4"/>
      <c r="H6" s="4"/>
      <c r="I6" s="4"/>
      <c r="J6" s="4"/>
      <c r="K6" s="4"/>
      <c r="L6" s="4"/>
    </row>
    <row r="7" spans="1:12">
      <c r="A7" s="2"/>
      <c r="B7" s="2"/>
      <c r="C7" s="4"/>
      <c r="D7" s="4"/>
      <c r="E7" s="4"/>
      <c r="F7" s="4"/>
      <c r="G7" s="4"/>
      <c r="H7" s="4"/>
      <c r="I7" s="4"/>
      <c r="J7" s="4"/>
      <c r="K7" s="4"/>
      <c r="L7" s="4"/>
    </row>
    <row r="8" spans="1:12">
      <c r="A8" s="2"/>
      <c r="B8" s="2"/>
      <c r="C8" s="4"/>
      <c r="D8" s="4"/>
      <c r="E8" s="4"/>
      <c r="F8" s="4"/>
      <c r="G8" s="4"/>
      <c r="H8" s="4"/>
      <c r="I8" s="4"/>
      <c r="J8" s="4"/>
      <c r="K8" s="4"/>
      <c r="L8" s="4"/>
    </row>
    <row r="9" spans="1:12">
      <c r="A9" s="2"/>
      <c r="B9" s="2"/>
      <c r="C9" s="4"/>
      <c r="D9" s="4"/>
      <c r="E9" s="4"/>
      <c r="F9" s="4"/>
      <c r="G9" s="4"/>
      <c r="H9" s="4"/>
      <c r="I9" s="4"/>
      <c r="J9" s="4"/>
      <c r="K9" s="4"/>
      <c r="L9" s="4"/>
    </row>
    <row r="10" spans="1:12">
      <c r="A10" s="2"/>
      <c r="B10" s="2"/>
      <c r="C10" s="4"/>
      <c r="D10" s="4"/>
      <c r="E10" s="4"/>
      <c r="F10" s="4"/>
      <c r="G10" s="4"/>
      <c r="H10" s="4"/>
      <c r="I10" s="4"/>
      <c r="J10" s="4"/>
      <c r="K10" s="4"/>
      <c r="L10" s="4"/>
    </row>
    <row r="11" spans="1:12">
      <c r="A11" s="2"/>
      <c r="B11" s="2"/>
      <c r="C11" s="4"/>
      <c r="D11" s="4"/>
      <c r="E11" s="4"/>
      <c r="F11" s="4"/>
      <c r="G11" s="4"/>
      <c r="H11" s="4"/>
      <c r="I11" s="4"/>
      <c r="J11" s="4"/>
      <c r="K11" s="4"/>
      <c r="L11" s="4"/>
    </row>
    <row r="12" spans="1:12">
      <c r="A12" s="2"/>
      <c r="B12" s="2"/>
      <c r="C12" s="4"/>
      <c r="D12" s="4"/>
      <c r="E12" s="4"/>
      <c r="F12" s="4"/>
      <c r="G12" s="4"/>
      <c r="H12" s="4"/>
      <c r="I12" s="4"/>
      <c r="J12" s="4"/>
      <c r="K12" s="4"/>
      <c r="L12" s="4"/>
    </row>
    <row r="13" spans="1:12">
      <c r="A13" s="2"/>
      <c r="B13" s="2"/>
      <c r="C13" s="4"/>
      <c r="D13" s="4"/>
      <c r="E13" s="4"/>
      <c r="F13" s="4"/>
      <c r="G13" s="4"/>
      <c r="H13" s="4"/>
      <c r="I13" s="4"/>
      <c r="J13" s="4"/>
      <c r="K13" s="4"/>
      <c r="L13" s="4"/>
    </row>
    <row r="14" spans="1:12">
      <c r="A14" s="2"/>
      <c r="B14" s="2"/>
      <c r="C14" s="4"/>
      <c r="D14" s="4"/>
      <c r="E14" s="4"/>
      <c r="F14" s="4"/>
      <c r="G14" s="4"/>
      <c r="H14" s="4"/>
      <c r="I14" s="4"/>
      <c r="J14" s="4"/>
      <c r="K14" s="4"/>
      <c r="L14" s="4"/>
    </row>
    <row r="15" spans="1:12">
      <c r="A15" s="2"/>
      <c r="B15" s="2"/>
      <c r="C15" s="4"/>
      <c r="D15" s="4"/>
      <c r="E15" s="4"/>
      <c r="F15" s="4"/>
      <c r="G15" s="4"/>
      <c r="H15" s="4"/>
      <c r="I15" s="4"/>
      <c r="J15" s="4"/>
      <c r="K15" s="4"/>
      <c r="L15" s="4"/>
    </row>
    <row r="16" spans="1:12">
      <c r="A16" s="2"/>
      <c r="B16" s="2"/>
      <c r="C16" s="4"/>
      <c r="D16" s="4"/>
      <c r="E16" s="4"/>
      <c r="F16" s="4"/>
      <c r="G16" s="4"/>
      <c r="H16" s="4"/>
      <c r="I16" s="4"/>
      <c r="J16" s="4"/>
      <c r="K16" s="4"/>
      <c r="L16" s="4"/>
    </row>
    <row r="17" spans="1:14">
      <c r="A17" s="2"/>
      <c r="B17" s="2"/>
      <c r="C17" s="4"/>
      <c r="D17" s="4"/>
      <c r="E17" s="4"/>
      <c r="F17" s="4"/>
      <c r="G17" s="4"/>
      <c r="H17" s="4"/>
      <c r="I17" s="4"/>
      <c r="J17" s="4"/>
      <c r="K17" s="4"/>
      <c r="L17" s="4"/>
    </row>
    <row r="18" spans="1:14">
      <c r="A18" s="2"/>
      <c r="B18" s="2"/>
      <c r="C18" s="4"/>
      <c r="D18" s="4"/>
      <c r="E18" s="4"/>
      <c r="F18" s="4"/>
      <c r="G18" s="4"/>
      <c r="H18" s="4"/>
      <c r="I18" s="4"/>
      <c r="J18" s="4"/>
      <c r="K18" s="4"/>
      <c r="L18" s="4"/>
      <c r="N18" s="492"/>
    </row>
    <row r="19" spans="1:14" ht="27.75">
      <c r="A19" s="2"/>
      <c r="B19" s="2"/>
      <c r="C19" s="47"/>
      <c r="D19" s="50"/>
      <c r="E19" s="47"/>
      <c r="F19" s="47"/>
      <c r="G19" s="47"/>
      <c r="H19" s="47"/>
      <c r="I19" s="47"/>
      <c r="J19" s="47"/>
      <c r="K19" s="47"/>
      <c r="L19" s="4"/>
    </row>
    <row r="20" spans="1:14">
      <c r="A20" s="2"/>
      <c r="B20" s="2"/>
      <c r="C20" s="4"/>
      <c r="D20" s="4"/>
      <c r="E20" s="4"/>
      <c r="F20" s="4"/>
      <c r="G20" s="4"/>
      <c r="H20" s="4"/>
      <c r="I20" s="4"/>
      <c r="J20" s="4"/>
      <c r="K20" s="4"/>
      <c r="L20" s="4"/>
    </row>
    <row r="21" spans="1:14" ht="27.75">
      <c r="A21" s="2"/>
      <c r="B21" s="2"/>
      <c r="C21" s="47"/>
      <c r="D21" s="50"/>
      <c r="E21" s="51"/>
      <c r="F21" s="52"/>
      <c r="G21" s="51"/>
      <c r="H21" s="47"/>
      <c r="I21" s="47"/>
      <c r="J21" s="47"/>
      <c r="K21" s="47"/>
      <c r="L21" s="4"/>
    </row>
    <row r="22" spans="1:14">
      <c r="A22" s="2"/>
      <c r="B22" s="2"/>
      <c r="C22" s="4"/>
      <c r="D22" s="4"/>
      <c r="E22" s="4"/>
      <c r="F22" s="4"/>
      <c r="G22" s="4"/>
      <c r="H22" s="4"/>
      <c r="I22" s="4"/>
      <c r="J22" s="4"/>
      <c r="K22" s="4"/>
      <c r="L22" s="4"/>
    </row>
    <row r="23" spans="1:14" ht="27.75">
      <c r="A23" s="2"/>
      <c r="B23" s="2"/>
      <c r="C23" s="48"/>
      <c r="D23" s="53"/>
      <c r="E23" s="53"/>
      <c r="F23" s="48"/>
      <c r="G23" s="48"/>
      <c r="H23" s="48"/>
      <c r="I23" s="48"/>
      <c r="J23" s="48"/>
      <c r="K23" s="48"/>
      <c r="L23" s="4"/>
      <c r="N23" s="492"/>
    </row>
    <row r="24" spans="1:14">
      <c r="A24" s="2"/>
      <c r="B24" s="2"/>
      <c r="C24" s="4"/>
      <c r="D24" s="4"/>
      <c r="E24" s="4"/>
      <c r="F24" s="4"/>
      <c r="G24" s="4"/>
      <c r="H24" s="4"/>
      <c r="I24" s="4"/>
      <c r="J24" s="4"/>
      <c r="K24" s="493"/>
      <c r="L24" s="4"/>
    </row>
    <row r="25" spans="1:14">
      <c r="A25" s="2"/>
      <c r="B25" s="2"/>
      <c r="C25" s="4"/>
      <c r="D25" s="4"/>
      <c r="E25" s="4"/>
      <c r="F25" s="4"/>
      <c r="G25" s="4"/>
      <c r="H25" s="4"/>
      <c r="I25" s="4"/>
      <c r="J25" s="4"/>
      <c r="K25" s="494"/>
      <c r="L25" s="495"/>
    </row>
    <row r="26" spans="1:14">
      <c r="A26" s="2"/>
      <c r="B26" s="2"/>
      <c r="C26" s="4"/>
      <c r="D26" s="4"/>
      <c r="E26" s="4"/>
      <c r="F26" s="4"/>
      <c r="G26" s="4"/>
      <c r="H26" s="4"/>
      <c r="I26" s="4"/>
      <c r="J26" s="4"/>
      <c r="K26" s="4"/>
      <c r="L26" s="4"/>
    </row>
    <row r="27" spans="1:14">
      <c r="A27" s="2"/>
      <c r="B27" s="2"/>
      <c r="C27" s="4"/>
      <c r="D27" s="4"/>
      <c r="E27" s="4"/>
      <c r="F27" s="4"/>
      <c r="G27" s="4"/>
      <c r="H27" s="4"/>
      <c r="I27" s="4"/>
      <c r="J27" s="4"/>
      <c r="K27" s="495"/>
      <c r="L27" s="4"/>
      <c r="M27" s="496"/>
    </row>
    <row r="28" spans="1:14">
      <c r="A28" s="2"/>
      <c r="B28" s="2"/>
      <c r="C28" s="4"/>
      <c r="D28" s="4"/>
      <c r="E28" s="4"/>
      <c r="F28" s="4"/>
      <c r="G28" s="4"/>
      <c r="H28" s="4"/>
      <c r="I28" s="4"/>
      <c r="J28" s="4"/>
      <c r="K28" s="4"/>
      <c r="L28" s="4"/>
    </row>
    <row r="29" spans="1:14">
      <c r="A29" s="2"/>
      <c r="B29" s="2"/>
      <c r="C29" s="4"/>
      <c r="D29" s="4"/>
      <c r="E29" s="4"/>
      <c r="F29" s="4"/>
      <c r="G29" s="4"/>
      <c r="H29" s="4"/>
      <c r="I29" s="4"/>
      <c r="J29" s="4"/>
      <c r="K29" s="4"/>
      <c r="L29" s="4"/>
      <c r="M29" s="630"/>
    </row>
    <row r="30" spans="1:14">
      <c r="A30" s="2"/>
      <c r="B30" s="2"/>
      <c r="C30" s="4"/>
      <c r="D30" s="4"/>
      <c r="E30" s="4"/>
      <c r="F30" s="4"/>
      <c r="G30" s="4"/>
      <c r="H30" s="4"/>
      <c r="I30" s="4"/>
      <c r="J30" s="4"/>
      <c r="K30" s="4"/>
      <c r="L30" s="4"/>
      <c r="M30" s="630"/>
    </row>
    <row r="31" spans="1:14">
      <c r="A31" s="2"/>
      <c r="B31" s="2"/>
      <c r="C31" s="4"/>
      <c r="D31" s="4"/>
      <c r="E31" s="4"/>
      <c r="F31" s="4"/>
      <c r="G31" s="4"/>
      <c r="I31" s="4"/>
      <c r="J31" s="4"/>
      <c r="K31" s="4"/>
      <c r="L31" s="4"/>
      <c r="M31" s="630"/>
    </row>
    <row r="32" spans="1:14">
      <c r="A32" s="2"/>
      <c r="B32" s="2"/>
      <c r="C32" s="4"/>
      <c r="D32" s="4"/>
      <c r="E32" s="4"/>
      <c r="F32" s="4"/>
      <c r="G32" s="4"/>
      <c r="I32" s="4"/>
      <c r="J32" s="4"/>
      <c r="K32" s="4"/>
      <c r="L32" s="4"/>
      <c r="M32" s="630"/>
    </row>
    <row r="33" spans="1:13" ht="9.75" customHeight="1">
      <c r="A33" s="2"/>
      <c r="B33" s="2"/>
      <c r="C33" s="4"/>
      <c r="D33" s="4"/>
      <c r="E33" s="4"/>
      <c r="F33" s="4"/>
      <c r="G33" s="4"/>
      <c r="H33" s="252"/>
      <c r="I33" s="4"/>
      <c r="J33" s="4"/>
      <c r="K33" s="4"/>
      <c r="L33" s="4"/>
      <c r="M33" s="630"/>
    </row>
    <row r="34" spans="1:13" ht="20.25" customHeight="1">
      <c r="A34" s="2"/>
      <c r="B34" s="2"/>
      <c r="C34" s="4"/>
      <c r="D34" s="4"/>
      <c r="E34" s="4"/>
      <c r="F34" s="4"/>
      <c r="G34" s="631" t="s">
        <v>895</v>
      </c>
      <c r="H34" s="631"/>
      <c r="I34" s="631"/>
      <c r="J34" s="4"/>
      <c r="K34" s="4"/>
      <c r="L34" s="4"/>
      <c r="M34" s="630"/>
    </row>
    <row r="35" spans="1:13" ht="12.75" customHeight="1">
      <c r="A35" s="2"/>
      <c r="B35" s="2"/>
      <c r="C35" s="4"/>
      <c r="D35" s="4"/>
      <c r="E35" s="4"/>
      <c r="F35" s="4"/>
      <c r="G35" s="631"/>
      <c r="H35" s="631"/>
      <c r="I35" s="631"/>
      <c r="J35" s="4"/>
      <c r="K35" s="4"/>
      <c r="L35" s="4"/>
      <c r="M35" s="630"/>
    </row>
    <row r="36" spans="1:13" ht="20.25" customHeight="1">
      <c r="A36" s="2"/>
      <c r="B36" s="2"/>
      <c r="C36" s="4"/>
      <c r="D36" s="4"/>
      <c r="E36" s="4"/>
      <c r="F36" s="4"/>
      <c r="G36" s="631" t="s">
        <v>894</v>
      </c>
      <c r="H36" s="631"/>
      <c r="I36" s="631"/>
      <c r="J36" s="4"/>
      <c r="K36" s="4"/>
      <c r="L36" s="4"/>
      <c r="M36" s="630"/>
    </row>
    <row r="37" spans="1:13">
      <c r="A37" s="2"/>
      <c r="B37" s="2"/>
      <c r="C37" s="4"/>
      <c r="D37" s="4"/>
      <c r="E37" s="4"/>
      <c r="F37" s="4"/>
      <c r="H37" s="4"/>
      <c r="I37" s="4"/>
      <c r="J37" s="4"/>
      <c r="K37" s="4"/>
      <c r="L37" s="4"/>
      <c r="M37" s="630"/>
    </row>
    <row r="38" spans="1:13">
      <c r="A38" s="2"/>
      <c r="B38" s="2"/>
      <c r="C38" s="4"/>
      <c r="D38" s="4"/>
      <c r="E38" s="4"/>
      <c r="F38" s="4"/>
      <c r="G38" s="4"/>
      <c r="I38" s="4"/>
      <c r="J38" s="4"/>
      <c r="K38" s="4"/>
      <c r="L38" s="4"/>
      <c r="M38" s="630"/>
    </row>
    <row r="39" spans="1:13">
      <c r="A39" s="2"/>
      <c r="B39" s="2"/>
      <c r="C39" s="4"/>
      <c r="D39" s="4"/>
      <c r="E39" s="4"/>
      <c r="F39" s="4"/>
      <c r="G39" s="4"/>
      <c r="H39" s="4"/>
      <c r="I39" s="4"/>
      <c r="J39" s="4"/>
      <c r="K39" s="4"/>
      <c r="L39" s="4"/>
      <c r="M39" s="630"/>
    </row>
    <row r="40" spans="1:13" ht="15.75">
      <c r="A40" s="2"/>
      <c r="B40" s="2"/>
      <c r="C40" s="4"/>
      <c r="D40" s="4"/>
      <c r="E40" s="4"/>
      <c r="F40" s="4"/>
      <c r="G40" s="4"/>
      <c r="H40" s="486"/>
      <c r="I40" s="4"/>
      <c r="J40" s="4"/>
      <c r="K40" s="4"/>
      <c r="L40" s="4"/>
      <c r="M40" s="630"/>
    </row>
    <row r="41" spans="1:13" ht="15.75">
      <c r="A41" s="2"/>
      <c r="B41" s="2"/>
      <c r="C41" s="4"/>
      <c r="D41" s="4"/>
      <c r="E41" s="4"/>
      <c r="F41" s="4"/>
      <c r="G41" s="4"/>
      <c r="H41" s="486"/>
      <c r="I41" s="4"/>
      <c r="J41" s="4"/>
      <c r="K41" s="4"/>
      <c r="L41" s="4"/>
      <c r="M41" s="630"/>
    </row>
    <row r="42" spans="1:13" ht="15.75">
      <c r="A42" s="2"/>
      <c r="B42" s="2"/>
      <c r="C42" s="4"/>
      <c r="D42" s="4"/>
      <c r="E42" s="4"/>
      <c r="F42" s="4"/>
      <c r="G42" s="4"/>
      <c r="H42" s="486"/>
      <c r="I42" s="4"/>
      <c r="J42" s="4"/>
      <c r="K42" s="4"/>
      <c r="L42" s="4"/>
      <c r="M42" s="630"/>
    </row>
    <row r="43" spans="1:13" ht="15.75">
      <c r="A43" s="2"/>
      <c r="B43" s="2"/>
      <c r="C43" s="4"/>
      <c r="D43" s="4"/>
      <c r="E43" s="4"/>
      <c r="F43" s="4"/>
      <c r="G43" s="4"/>
      <c r="H43" s="486"/>
      <c r="I43" s="4"/>
      <c r="J43" s="4"/>
      <c r="K43" s="4"/>
      <c r="L43" s="4"/>
      <c r="M43" s="630"/>
    </row>
    <row r="44" spans="1:13" ht="15.75">
      <c r="A44" s="2"/>
      <c r="B44" s="2"/>
      <c r="C44" s="4"/>
      <c r="D44" s="4"/>
      <c r="E44" s="4"/>
      <c r="F44" s="4"/>
      <c r="G44" s="4"/>
      <c r="H44" s="486"/>
      <c r="I44" s="4"/>
      <c r="J44" s="4"/>
      <c r="K44" s="4"/>
      <c r="L44" s="4"/>
      <c r="M44" s="630"/>
    </row>
    <row r="45" spans="1:13">
      <c r="A45" s="2"/>
      <c r="B45" s="2"/>
      <c r="C45" s="4"/>
      <c r="D45" s="4"/>
      <c r="E45" s="4"/>
      <c r="F45" s="4"/>
      <c r="G45" s="4"/>
      <c r="H45" s="4"/>
      <c r="I45" s="4"/>
      <c r="J45" s="4"/>
      <c r="K45" s="4"/>
      <c r="L45" s="4"/>
      <c r="M45" s="630"/>
    </row>
    <row r="46" spans="1:13">
      <c r="A46" s="2"/>
      <c r="B46" s="2"/>
      <c r="C46" s="4"/>
      <c r="D46" s="4"/>
      <c r="E46" s="4"/>
      <c r="F46" s="4"/>
      <c r="G46" s="4"/>
      <c r="H46" s="4"/>
      <c r="I46" s="4"/>
      <c r="J46" s="4"/>
      <c r="K46" s="4"/>
      <c r="L46" s="4"/>
      <c r="M46" s="630"/>
    </row>
    <row r="47" spans="1:13">
      <c r="C47" s="4"/>
      <c r="D47" s="4"/>
      <c r="E47" s="4"/>
      <c r="F47" s="4"/>
      <c r="G47" s="4"/>
      <c r="H47" s="4"/>
      <c r="I47" s="4"/>
      <c r="J47" s="4"/>
      <c r="K47" s="4"/>
      <c r="L47" s="4"/>
      <c r="M47" s="630"/>
    </row>
    <row r="48" spans="1:13">
      <c r="C48" s="628" t="s">
        <v>863</v>
      </c>
      <c r="D48" s="628"/>
      <c r="E48" s="628"/>
      <c r="F48" s="628"/>
      <c r="G48" s="628"/>
      <c r="H48" s="628"/>
      <c r="I48" s="628"/>
      <c r="J48" s="628"/>
      <c r="K48" s="628"/>
      <c r="L48" s="628"/>
    </row>
    <row r="49" spans="3:12">
      <c r="C49" s="4"/>
      <c r="D49" s="4"/>
      <c r="E49" s="4"/>
      <c r="F49" s="4"/>
      <c r="G49" s="4"/>
      <c r="H49" s="4"/>
      <c r="I49" s="4"/>
      <c r="J49" s="4"/>
      <c r="K49" s="4"/>
      <c r="L49" s="4"/>
    </row>
  </sheetData>
  <mergeCells count="5">
    <mergeCell ref="C48:L48"/>
    <mergeCell ref="C2:L4"/>
    <mergeCell ref="M29:M47"/>
    <mergeCell ref="G36:I36"/>
    <mergeCell ref="G34:I35"/>
  </mergeCells>
  <phoneticPr fontId="26" type="noConversion"/>
  <printOptions horizontalCentered="1" verticalCentered="1"/>
  <pageMargins left="0.25" right="0.25" top="0.41" bottom="0.8125" header="0.17" footer="0.16"/>
  <pageSetup fitToHeight="27" orientation="portrait" r:id="rId1"/>
  <headerFooter alignWithMargins="0">
    <oddFooter xml:space="preserve">&amp;L&amp;6&amp;Z&amp;F&amp;CQAI_6012 AAR Mobility PPAP Workbook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11"/>
    <pageSetUpPr fitToPage="1"/>
  </sheetPr>
  <dimension ref="A1:V45"/>
  <sheetViews>
    <sheetView zoomScaleNormal="100" workbookViewId="0">
      <pane ySplit="12" topLeftCell="A22" activePane="bottomLeft" state="frozen"/>
      <selection activeCell="O21" sqref="O21"/>
      <selection pane="bottomLeft" activeCell="O21" sqref="O21"/>
    </sheetView>
  </sheetViews>
  <sheetFormatPr defaultColWidth="9.140625" defaultRowHeight="12.75"/>
  <cols>
    <col min="1" max="1" width="4.5703125" style="1" customWidth="1"/>
    <col min="2" max="2" width="13.7109375" style="1" customWidth="1"/>
    <col min="3" max="3" width="8" style="1" customWidth="1"/>
    <col min="4" max="5" width="8.7109375" style="6" customWidth="1"/>
    <col min="6" max="6" width="12.5703125" style="1" customWidth="1"/>
    <col min="7" max="7" width="12.140625" style="1" customWidth="1"/>
    <col min="8" max="8" width="12.7109375" style="11" customWidth="1"/>
    <col min="9" max="9" width="12.7109375" style="1" customWidth="1"/>
    <col min="10" max="10" width="11.85546875" style="1" customWidth="1"/>
    <col min="11" max="12" width="3.7109375" style="1" customWidth="1"/>
    <col min="13" max="16384" width="9.140625" style="1"/>
  </cols>
  <sheetData>
    <row r="1" spans="1:15" ht="18" customHeight="1">
      <c r="A1" s="755" t="s">
        <v>850</v>
      </c>
      <c r="B1" s="658"/>
      <c r="C1" s="658"/>
      <c r="D1" s="658"/>
      <c r="E1" s="658"/>
      <c r="F1" s="658"/>
      <c r="G1" s="658"/>
      <c r="H1" s="658"/>
      <c r="I1" s="658"/>
      <c r="J1" s="658"/>
      <c r="K1" s="658"/>
      <c r="L1" s="659"/>
    </row>
    <row r="2" spans="1:15" ht="64.5" customHeight="1" thickBot="1">
      <c r="A2" s="660"/>
      <c r="B2" s="661"/>
      <c r="C2" s="661"/>
      <c r="D2" s="661"/>
      <c r="E2" s="661"/>
      <c r="F2" s="661"/>
      <c r="G2" s="661"/>
      <c r="H2" s="661"/>
      <c r="I2" s="661"/>
      <c r="J2" s="661"/>
      <c r="K2" s="661"/>
      <c r="L2" s="662"/>
    </row>
    <row r="3" spans="1:15" ht="12" customHeight="1">
      <c r="A3" s="76" t="s">
        <v>138</v>
      </c>
      <c r="B3" s="77"/>
      <c r="C3" s="809" t="str">
        <f>INTRO!D36</f>
        <v>SUPPLIER COMPANY</v>
      </c>
      <c r="D3" s="809"/>
      <c r="E3" s="809"/>
      <c r="F3" s="809"/>
      <c r="G3" s="809"/>
      <c r="H3" s="49" t="s">
        <v>18</v>
      </c>
      <c r="I3" s="817" t="str">
        <f>INTRO!$D$29</f>
        <v>P-NUMBER</v>
      </c>
      <c r="J3" s="817"/>
      <c r="K3" s="817"/>
      <c r="L3" s="818"/>
      <c r="N3" s="12"/>
      <c r="O3" s="3"/>
    </row>
    <row r="4" spans="1:15" ht="13.5" thickBot="1">
      <c r="A4" s="79" t="s">
        <v>152</v>
      </c>
      <c r="B4" s="78"/>
      <c r="C4" s="810" t="str">
        <f>INTRO!D37</f>
        <v>NUMBER</v>
      </c>
      <c r="D4" s="810"/>
      <c r="E4" s="810"/>
      <c r="F4" s="810"/>
      <c r="G4" s="810"/>
      <c r="H4" s="74" t="s">
        <v>140</v>
      </c>
      <c r="I4" s="815" t="str">
        <f>INTRO!$D$28</f>
        <v>NAME</v>
      </c>
      <c r="J4" s="815"/>
      <c r="K4" s="815"/>
      <c r="L4" s="816"/>
      <c r="N4" s="4"/>
      <c r="O4" s="4"/>
    </row>
    <row r="5" spans="1:15" s="4" customFormat="1" ht="13.5" thickBot="1">
      <c r="A5" s="75"/>
      <c r="B5" s="3"/>
      <c r="C5" s="82"/>
      <c r="D5" s="82"/>
      <c r="E5" s="82"/>
      <c r="F5" s="82"/>
      <c r="G5" s="82"/>
      <c r="H5" s="75"/>
      <c r="I5" s="83"/>
      <c r="J5" s="83"/>
      <c r="K5" s="83"/>
      <c r="L5" s="83"/>
    </row>
    <row r="6" spans="1:15" ht="12.75" customHeight="1">
      <c r="A6" s="828" t="s">
        <v>139</v>
      </c>
      <c r="B6" s="829"/>
      <c r="C6" s="829"/>
      <c r="D6" s="819"/>
      <c r="E6" s="819"/>
      <c r="F6" s="819"/>
      <c r="G6" s="820"/>
      <c r="H6" s="829" t="s">
        <v>137</v>
      </c>
      <c r="I6" s="829"/>
      <c r="J6" s="829"/>
      <c r="K6" s="826" t="str">
        <f>INTRO!D31</f>
        <v>ECN</v>
      </c>
      <c r="L6" s="827"/>
      <c r="N6" s="12"/>
      <c r="O6" s="3"/>
    </row>
    <row r="7" spans="1:15" ht="13.5" thickBot="1">
      <c r="A7" s="178" t="s">
        <v>17</v>
      </c>
      <c r="B7" s="822"/>
      <c r="C7" s="835"/>
      <c r="D7" s="835"/>
      <c r="E7" s="835"/>
      <c r="F7" s="835"/>
      <c r="G7" s="836"/>
      <c r="H7" s="821" t="s">
        <v>141</v>
      </c>
      <c r="I7" s="821"/>
      <c r="J7" s="821"/>
      <c r="K7" s="822"/>
      <c r="L7" s="823"/>
    </row>
    <row r="8" spans="1:15" ht="5.25" customHeight="1">
      <c r="A8" s="497"/>
      <c r="B8" s="104"/>
      <c r="C8" s="104"/>
      <c r="D8" s="104"/>
      <c r="E8" s="104"/>
      <c r="F8" s="104"/>
      <c r="G8" s="104"/>
      <c r="H8" s="73"/>
      <c r="I8" s="73"/>
      <c r="J8" s="73"/>
      <c r="K8" s="104"/>
      <c r="L8" s="104"/>
    </row>
    <row r="9" spans="1:15">
      <c r="A9" s="12" t="s">
        <v>857</v>
      </c>
      <c r="B9" s="104"/>
      <c r="C9" s="104"/>
      <c r="D9" s="104"/>
      <c r="E9" s="104"/>
      <c r="F9" s="104"/>
      <c r="G9" s="104"/>
      <c r="H9" s="73"/>
      <c r="I9" s="73"/>
      <c r="J9" s="73"/>
      <c r="K9" s="104"/>
      <c r="L9" s="104"/>
    </row>
    <row r="10" spans="1:15" ht="6.75" customHeight="1" thickBot="1">
      <c r="A10" s="75"/>
      <c r="B10" s="75"/>
      <c r="C10" s="75"/>
      <c r="D10" s="104"/>
      <c r="E10" s="104"/>
      <c r="F10" s="75"/>
      <c r="G10" s="75"/>
      <c r="H10" s="75"/>
      <c r="I10" s="75"/>
      <c r="J10" s="75"/>
      <c r="K10" s="75"/>
      <c r="L10" s="4"/>
    </row>
    <row r="11" spans="1:15" ht="18.75" customHeight="1">
      <c r="A11" s="878" t="s">
        <v>72</v>
      </c>
      <c r="B11" s="834" t="s">
        <v>852</v>
      </c>
      <c r="C11" s="834"/>
      <c r="D11" s="834"/>
      <c r="E11" s="834"/>
      <c r="F11" s="834" t="s">
        <v>851</v>
      </c>
      <c r="G11" s="834" t="s">
        <v>858</v>
      </c>
      <c r="H11" s="875" t="s">
        <v>856</v>
      </c>
      <c r="I11" s="876"/>
      <c r="J11" s="877"/>
      <c r="K11" s="834" t="s">
        <v>73</v>
      </c>
      <c r="L11" s="873" t="s">
        <v>135</v>
      </c>
    </row>
    <row r="12" spans="1:15" s="13" customFormat="1" ht="13.5" thickBot="1">
      <c r="A12" s="879"/>
      <c r="B12" s="870"/>
      <c r="C12" s="870"/>
      <c r="D12" s="870"/>
      <c r="E12" s="870"/>
      <c r="F12" s="880"/>
      <c r="G12" s="870"/>
      <c r="H12" s="103" t="s">
        <v>853</v>
      </c>
      <c r="I12" s="103" t="s">
        <v>855</v>
      </c>
      <c r="J12" s="103" t="s">
        <v>854</v>
      </c>
      <c r="K12" s="870"/>
      <c r="L12" s="874"/>
    </row>
    <row r="13" spans="1:15" s="20" customFormat="1" ht="15">
      <c r="A13" s="570"/>
      <c r="B13" s="871"/>
      <c r="C13" s="871"/>
      <c r="D13" s="871"/>
      <c r="E13" s="871"/>
      <c r="F13" s="571"/>
      <c r="G13" s="571"/>
      <c r="H13" s="571"/>
      <c r="I13" s="571"/>
      <c r="J13" s="571"/>
      <c r="K13" s="19"/>
      <c r="L13" s="36"/>
    </row>
    <row r="14" spans="1:15" s="20" customFormat="1" ht="15">
      <c r="A14" s="37"/>
      <c r="B14" s="869"/>
      <c r="C14" s="869"/>
      <c r="D14" s="869"/>
      <c r="E14" s="869"/>
      <c r="F14" s="568"/>
      <c r="G14" s="568"/>
      <c r="H14" s="568"/>
      <c r="I14" s="568"/>
      <c r="J14" s="568"/>
      <c r="K14" s="21"/>
      <c r="L14" s="38"/>
    </row>
    <row r="15" spans="1:15" s="20" customFormat="1" ht="15">
      <c r="A15" s="37"/>
      <c r="B15" s="869"/>
      <c r="C15" s="869"/>
      <c r="D15" s="869"/>
      <c r="E15" s="869"/>
      <c r="F15" s="568"/>
      <c r="G15" s="568"/>
      <c r="H15" s="568"/>
      <c r="I15" s="568"/>
      <c r="J15" s="568"/>
      <c r="K15" s="21"/>
      <c r="L15" s="38"/>
    </row>
    <row r="16" spans="1:15" s="20" customFormat="1" ht="15">
      <c r="A16" s="37"/>
      <c r="B16" s="869"/>
      <c r="C16" s="869"/>
      <c r="D16" s="869"/>
      <c r="E16" s="869"/>
      <c r="F16" s="568"/>
      <c r="G16" s="568"/>
      <c r="H16" s="568"/>
      <c r="I16" s="568"/>
      <c r="J16" s="568"/>
      <c r="K16" s="21"/>
      <c r="L16" s="38"/>
    </row>
    <row r="17" spans="1:12" s="20" customFormat="1" ht="15">
      <c r="A17" s="567"/>
      <c r="B17" s="869"/>
      <c r="C17" s="869"/>
      <c r="D17" s="869"/>
      <c r="E17" s="869"/>
      <c r="F17" s="568"/>
      <c r="G17" s="568"/>
      <c r="H17" s="568"/>
      <c r="I17" s="568"/>
      <c r="J17" s="568"/>
      <c r="K17" s="21"/>
      <c r="L17" s="38"/>
    </row>
    <row r="18" spans="1:12" s="20" customFormat="1" ht="15">
      <c r="A18" s="567"/>
      <c r="B18" s="869"/>
      <c r="C18" s="869"/>
      <c r="D18" s="869"/>
      <c r="E18" s="869"/>
      <c r="F18" s="568"/>
      <c r="G18" s="568"/>
      <c r="H18" s="568"/>
      <c r="I18" s="568"/>
      <c r="J18" s="568"/>
      <c r="K18" s="21"/>
      <c r="L18" s="38"/>
    </row>
    <row r="19" spans="1:12" s="20" customFormat="1" ht="15">
      <c r="A19" s="567" t="s">
        <v>154</v>
      </c>
      <c r="B19" s="869"/>
      <c r="C19" s="869"/>
      <c r="D19" s="869"/>
      <c r="E19" s="869"/>
      <c r="F19" s="568"/>
      <c r="G19" s="568"/>
      <c r="H19" s="568"/>
      <c r="I19" s="568"/>
      <c r="J19" s="568"/>
      <c r="K19" s="21"/>
      <c r="L19" s="38"/>
    </row>
    <row r="20" spans="1:12" s="20" customFormat="1" ht="15">
      <c r="A20" s="567"/>
      <c r="B20" s="869"/>
      <c r="C20" s="869"/>
      <c r="D20" s="869"/>
      <c r="E20" s="869"/>
      <c r="F20" s="568"/>
      <c r="G20" s="568"/>
      <c r="H20" s="568"/>
      <c r="I20" s="568"/>
      <c r="J20" s="568"/>
      <c r="K20" s="21"/>
      <c r="L20" s="38"/>
    </row>
    <row r="21" spans="1:12" s="20" customFormat="1" ht="15">
      <c r="A21" s="37"/>
      <c r="B21" s="869"/>
      <c r="C21" s="869"/>
      <c r="D21" s="869"/>
      <c r="E21" s="869"/>
      <c r="F21" s="568"/>
      <c r="G21" s="568"/>
      <c r="H21" s="568"/>
      <c r="I21" s="568"/>
      <c r="J21" s="568"/>
      <c r="K21" s="21"/>
      <c r="L21" s="38"/>
    </row>
    <row r="22" spans="1:12" s="20" customFormat="1" ht="15">
      <c r="A22" s="37"/>
      <c r="B22" s="869"/>
      <c r="C22" s="869"/>
      <c r="D22" s="869"/>
      <c r="E22" s="869"/>
      <c r="F22" s="568"/>
      <c r="G22" s="568"/>
      <c r="H22" s="568"/>
      <c r="I22" s="568"/>
      <c r="J22" s="568"/>
      <c r="K22" s="21"/>
      <c r="L22" s="38"/>
    </row>
    <row r="23" spans="1:12" s="20" customFormat="1" ht="15">
      <c r="A23" s="37"/>
      <c r="B23" s="869"/>
      <c r="C23" s="869"/>
      <c r="D23" s="869"/>
      <c r="E23" s="869"/>
      <c r="F23" s="568"/>
      <c r="G23" s="568"/>
      <c r="H23" s="568"/>
      <c r="I23" s="568"/>
      <c r="J23" s="568"/>
      <c r="K23" s="21"/>
      <c r="L23" s="38"/>
    </row>
    <row r="24" spans="1:12" s="20" customFormat="1" ht="15">
      <c r="A24" s="37"/>
      <c r="B24" s="869"/>
      <c r="C24" s="869"/>
      <c r="D24" s="869"/>
      <c r="E24" s="869"/>
      <c r="F24" s="568"/>
      <c r="G24" s="568"/>
      <c r="H24" s="568"/>
      <c r="I24" s="568"/>
      <c r="J24" s="568"/>
      <c r="K24" s="21"/>
      <c r="L24" s="38"/>
    </row>
    <row r="25" spans="1:12" s="20" customFormat="1" ht="15">
      <c r="A25" s="37"/>
      <c r="B25" s="869"/>
      <c r="C25" s="869"/>
      <c r="D25" s="869"/>
      <c r="E25" s="869"/>
      <c r="F25" s="568"/>
      <c r="G25" s="568"/>
      <c r="H25" s="568"/>
      <c r="I25" s="568"/>
      <c r="J25" s="568"/>
      <c r="K25" s="21"/>
      <c r="L25" s="38"/>
    </row>
    <row r="26" spans="1:12" s="20" customFormat="1" ht="15">
      <c r="A26" s="37"/>
      <c r="B26" s="869"/>
      <c r="C26" s="869"/>
      <c r="D26" s="869"/>
      <c r="E26" s="869"/>
      <c r="F26" s="568"/>
      <c r="G26" s="568"/>
      <c r="H26" s="568"/>
      <c r="I26" s="568"/>
      <c r="J26" s="568"/>
      <c r="K26" s="21"/>
      <c r="L26" s="38"/>
    </row>
    <row r="27" spans="1:12" s="20" customFormat="1" ht="15">
      <c r="A27" s="37"/>
      <c r="B27" s="869"/>
      <c r="C27" s="869"/>
      <c r="D27" s="869"/>
      <c r="E27" s="869"/>
      <c r="F27" s="568"/>
      <c r="G27" s="568"/>
      <c r="H27" s="568"/>
      <c r="I27" s="568"/>
      <c r="J27" s="568"/>
      <c r="K27" s="21"/>
      <c r="L27" s="38"/>
    </row>
    <row r="28" spans="1:12" s="20" customFormat="1" ht="15">
      <c r="A28" s="37"/>
      <c r="B28" s="869"/>
      <c r="C28" s="869"/>
      <c r="D28" s="869"/>
      <c r="E28" s="869"/>
      <c r="F28" s="568"/>
      <c r="G28" s="568"/>
      <c r="H28" s="568"/>
      <c r="I28" s="568"/>
      <c r="J28" s="568"/>
      <c r="K28" s="21"/>
      <c r="L28" s="38"/>
    </row>
    <row r="29" spans="1:12" s="20" customFormat="1" ht="15">
      <c r="A29" s="37"/>
      <c r="B29" s="869"/>
      <c r="C29" s="869"/>
      <c r="D29" s="869"/>
      <c r="E29" s="869"/>
      <c r="F29" s="568"/>
      <c r="G29" s="568"/>
      <c r="H29" s="568"/>
      <c r="I29" s="568"/>
      <c r="J29" s="568"/>
      <c r="K29" s="21"/>
      <c r="L29" s="38"/>
    </row>
    <row r="30" spans="1:12" s="20" customFormat="1" ht="15">
      <c r="A30" s="37"/>
      <c r="B30" s="869"/>
      <c r="C30" s="869"/>
      <c r="D30" s="869"/>
      <c r="E30" s="869"/>
      <c r="F30" s="568"/>
      <c r="G30" s="568"/>
      <c r="H30" s="568"/>
      <c r="I30" s="568"/>
      <c r="J30" s="568"/>
      <c r="K30" s="21"/>
      <c r="L30" s="38"/>
    </row>
    <row r="31" spans="1:12" s="20" customFormat="1" ht="15">
      <c r="A31" s="37"/>
      <c r="B31" s="869"/>
      <c r="C31" s="869"/>
      <c r="D31" s="869"/>
      <c r="E31" s="869"/>
      <c r="F31" s="568"/>
      <c r="G31" s="568"/>
      <c r="H31" s="568"/>
      <c r="I31" s="568"/>
      <c r="J31" s="568"/>
      <c r="K31" s="21"/>
      <c r="L31" s="38"/>
    </row>
    <row r="32" spans="1:12" s="20" customFormat="1" ht="15">
      <c r="A32" s="37"/>
      <c r="B32" s="869"/>
      <c r="C32" s="869"/>
      <c r="D32" s="869"/>
      <c r="E32" s="869"/>
      <c r="F32" s="568"/>
      <c r="G32" s="568"/>
      <c r="H32" s="568"/>
      <c r="I32" s="568"/>
      <c r="J32" s="568"/>
      <c r="K32" s="21"/>
      <c r="L32" s="38"/>
    </row>
    <row r="33" spans="1:22" s="20" customFormat="1" ht="15">
      <c r="A33" s="37"/>
      <c r="B33" s="869"/>
      <c r="C33" s="869"/>
      <c r="D33" s="869"/>
      <c r="E33" s="869"/>
      <c r="F33" s="568"/>
      <c r="G33" s="568"/>
      <c r="H33" s="568"/>
      <c r="I33" s="568"/>
      <c r="J33" s="568"/>
      <c r="K33" s="21"/>
      <c r="L33" s="38"/>
    </row>
    <row r="34" spans="1:22" s="20" customFormat="1" ht="15">
      <c r="A34" s="37"/>
      <c r="B34" s="869"/>
      <c r="C34" s="869"/>
      <c r="D34" s="869"/>
      <c r="E34" s="869"/>
      <c r="F34" s="568"/>
      <c r="G34" s="568"/>
      <c r="H34" s="568"/>
      <c r="I34" s="568"/>
      <c r="J34" s="568"/>
      <c r="K34" s="21"/>
      <c r="L34" s="38"/>
    </row>
    <row r="35" spans="1:22" s="20" customFormat="1" ht="15">
      <c r="A35" s="37"/>
      <c r="B35" s="869"/>
      <c r="C35" s="869"/>
      <c r="D35" s="869"/>
      <c r="E35" s="869"/>
      <c r="F35" s="568"/>
      <c r="G35" s="568"/>
      <c r="H35" s="568"/>
      <c r="I35" s="568"/>
      <c r="J35" s="568"/>
      <c r="K35" s="21"/>
      <c r="L35" s="38"/>
    </row>
    <row r="36" spans="1:22" s="20" customFormat="1" ht="15">
      <c r="A36" s="37"/>
      <c r="B36" s="869"/>
      <c r="C36" s="869"/>
      <c r="D36" s="869"/>
      <c r="E36" s="869"/>
      <c r="F36" s="568"/>
      <c r="G36" s="568"/>
      <c r="H36" s="568"/>
      <c r="I36" s="568"/>
      <c r="J36" s="568"/>
      <c r="K36" s="21"/>
      <c r="L36" s="38"/>
    </row>
    <row r="37" spans="1:22" s="20" customFormat="1" ht="15">
      <c r="A37" s="37"/>
      <c r="B37" s="869"/>
      <c r="C37" s="869"/>
      <c r="D37" s="869"/>
      <c r="E37" s="869"/>
      <c r="F37" s="568"/>
      <c r="G37" s="568"/>
      <c r="H37" s="568"/>
      <c r="I37" s="568"/>
      <c r="J37" s="568"/>
      <c r="K37" s="21"/>
      <c r="L37" s="38"/>
    </row>
    <row r="38" spans="1:22" s="20" customFormat="1" ht="15">
      <c r="A38" s="37"/>
      <c r="B38" s="869"/>
      <c r="C38" s="869"/>
      <c r="D38" s="869"/>
      <c r="E38" s="869"/>
      <c r="F38" s="568"/>
      <c r="G38" s="568"/>
      <c r="H38" s="568"/>
      <c r="I38" s="568"/>
      <c r="J38" s="568"/>
      <c r="K38" s="21"/>
      <c r="L38" s="38"/>
    </row>
    <row r="39" spans="1:22" s="20" customFormat="1" ht="15">
      <c r="A39" s="37"/>
      <c r="B39" s="869"/>
      <c r="C39" s="869"/>
      <c r="D39" s="869"/>
      <c r="E39" s="869"/>
      <c r="F39" s="568"/>
      <c r="G39" s="568"/>
      <c r="H39" s="568"/>
      <c r="I39" s="568"/>
      <c r="J39" s="568"/>
      <c r="K39" s="21"/>
      <c r="L39" s="38"/>
    </row>
    <row r="40" spans="1:22" s="20" customFormat="1" ht="15.75" thickBot="1">
      <c r="A40" s="39"/>
      <c r="B40" s="872"/>
      <c r="C40" s="872"/>
      <c r="D40" s="872"/>
      <c r="E40" s="872"/>
      <c r="F40" s="569"/>
      <c r="G40" s="569"/>
      <c r="H40" s="569"/>
      <c r="I40" s="569"/>
      <c r="J40" s="569"/>
      <c r="K40" s="44"/>
      <c r="L40" s="45"/>
    </row>
    <row r="41" spans="1:22" s="20" customFormat="1" ht="15.75" thickBot="1">
      <c r="A41" s="29"/>
      <c r="B41" s="29"/>
      <c r="C41" s="29"/>
      <c r="D41" s="846" t="s">
        <v>142</v>
      </c>
      <c r="E41" s="847"/>
      <c r="F41" s="847"/>
      <c r="G41" s="847"/>
      <c r="H41" s="847"/>
      <c r="I41" s="847"/>
      <c r="J41" s="847"/>
      <c r="K41" s="848"/>
    </row>
    <row r="42" spans="1:22">
      <c r="D42" s="1"/>
      <c r="E42" s="4"/>
      <c r="F42" s="4"/>
      <c r="H42" s="1"/>
    </row>
    <row r="43" spans="1:22" ht="9.75" customHeight="1">
      <c r="B43" s="842" t="s">
        <v>149</v>
      </c>
      <c r="C43" s="843"/>
      <c r="D43" s="844" t="s">
        <v>15</v>
      </c>
      <c r="E43" s="844"/>
      <c r="F43" s="844"/>
      <c r="G43" s="844" t="s">
        <v>74</v>
      </c>
      <c r="H43" s="844"/>
      <c r="I43" s="844"/>
      <c r="J43" s="844" t="s">
        <v>16</v>
      </c>
      <c r="K43" s="845"/>
    </row>
    <row r="44" spans="1:22" ht="20.25" customHeight="1">
      <c r="B44" s="837"/>
      <c r="C44" s="838"/>
      <c r="D44" s="839"/>
      <c r="E44" s="839"/>
      <c r="F44" s="839"/>
      <c r="G44" s="839"/>
      <c r="H44" s="839"/>
      <c r="I44" s="839"/>
      <c r="J44" s="840"/>
      <c r="K44" s="841"/>
    </row>
    <row r="45" spans="1:22" s="8" customFormat="1" ht="9">
      <c r="A45" s="7"/>
      <c r="B45" s="7"/>
      <c r="C45" s="9"/>
      <c r="D45" s="107"/>
      <c r="E45" s="107"/>
      <c r="F45" s="26"/>
      <c r="G45" s="7"/>
      <c r="H45" s="27"/>
      <c r="I45" s="7"/>
      <c r="J45" s="7"/>
      <c r="K45" s="7"/>
      <c r="L45" s="28"/>
      <c r="M45" s="7"/>
      <c r="N45" s="7"/>
      <c r="O45" s="7"/>
      <c r="P45" s="7"/>
      <c r="Q45" s="7"/>
      <c r="R45" s="7"/>
      <c r="S45" s="7"/>
      <c r="T45" s="7"/>
      <c r="U45" s="7"/>
      <c r="V45" s="7"/>
    </row>
  </sheetData>
  <mergeCells count="56">
    <mergeCell ref="A1:L2"/>
    <mergeCell ref="A11:A12"/>
    <mergeCell ref="K11:K12"/>
    <mergeCell ref="C3:G3"/>
    <mergeCell ref="C4:G4"/>
    <mergeCell ref="F11:F12"/>
    <mergeCell ref="I3:L3"/>
    <mergeCell ref="D6:G6"/>
    <mergeCell ref="H7:J7"/>
    <mergeCell ref="K7:L7"/>
    <mergeCell ref="K6:L6"/>
    <mergeCell ref="I4:L4"/>
    <mergeCell ref="D44:F44"/>
    <mergeCell ref="H6:J6"/>
    <mergeCell ref="L11:L12"/>
    <mergeCell ref="B7:G7"/>
    <mergeCell ref="B44:C44"/>
    <mergeCell ref="G44:I44"/>
    <mergeCell ref="J44:K44"/>
    <mergeCell ref="B43:C43"/>
    <mergeCell ref="D43:F43"/>
    <mergeCell ref="G43:I43"/>
    <mergeCell ref="A6:C6"/>
    <mergeCell ref="B32:E32"/>
    <mergeCell ref="D41:K41"/>
    <mergeCell ref="B33:E33"/>
    <mergeCell ref="B34:E34"/>
    <mergeCell ref="H11:J11"/>
    <mergeCell ref="B19:E19"/>
    <mergeCell ref="B20:E20"/>
    <mergeCell ref="J43:K43"/>
    <mergeCell ref="B21:E21"/>
    <mergeCell ref="B35:E35"/>
    <mergeCell ref="B36:E36"/>
    <mergeCell ref="B39:E39"/>
    <mergeCell ref="B40:E40"/>
    <mergeCell ref="B22:E22"/>
    <mergeCell ref="B23:E23"/>
    <mergeCell ref="B24:E24"/>
    <mergeCell ref="B38:E38"/>
    <mergeCell ref="B15:E15"/>
    <mergeCell ref="B16:E16"/>
    <mergeCell ref="B17:E17"/>
    <mergeCell ref="B37:E37"/>
    <mergeCell ref="G11:G12"/>
    <mergeCell ref="B11:E12"/>
    <mergeCell ref="B13:E13"/>
    <mergeCell ref="B14:E14"/>
    <mergeCell ref="B30:E30"/>
    <mergeCell ref="B31:E31"/>
    <mergeCell ref="B25:E25"/>
    <mergeCell ref="B26:E26"/>
    <mergeCell ref="B27:E27"/>
    <mergeCell ref="B28:E28"/>
    <mergeCell ref="B29:E29"/>
    <mergeCell ref="B18:E18"/>
  </mergeCells>
  <phoneticPr fontId="0" type="noConversion"/>
  <printOptions horizontalCentered="1" verticalCentered="1"/>
  <pageMargins left="0.25" right="0.25" top="0.41" bottom="0.8125" header="0.17" footer="0.16"/>
  <pageSetup scale="92" fitToHeight="27" orientation="portrait" r:id="rId1"/>
  <headerFooter alignWithMargins="0">
    <oddFooter xml:space="preserve">&amp;L&amp;6&amp;Z&amp;F&amp;CQAI_6012 AAR Mobility PPAP Workbook
</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indexed="11"/>
    <pageSetUpPr fitToPage="1"/>
  </sheetPr>
  <dimension ref="A1:X40"/>
  <sheetViews>
    <sheetView zoomScaleNormal="100" workbookViewId="0">
      <selection activeCell="O21" sqref="O21"/>
    </sheetView>
  </sheetViews>
  <sheetFormatPr defaultColWidth="9.140625" defaultRowHeight="12.75"/>
  <cols>
    <col min="1" max="1" width="5.85546875" style="1" customWidth="1"/>
    <col min="2" max="6" width="3.7109375" style="1" customWidth="1"/>
    <col min="7" max="7" width="7" style="1" customWidth="1"/>
    <col min="8" max="10" width="7.5703125" style="1" customWidth="1"/>
    <col min="11" max="22" width="4.28515625" style="1" customWidth="1"/>
    <col min="23" max="23" width="7.42578125" style="1" customWidth="1"/>
    <col min="24" max="24" width="10.42578125" style="1" customWidth="1"/>
    <col min="25" max="16384" width="9.140625" style="1"/>
  </cols>
  <sheetData>
    <row r="1" spans="1:24">
      <c r="A1" s="885" t="s">
        <v>306</v>
      </c>
      <c r="B1" s="701"/>
      <c r="C1" s="701"/>
      <c r="D1" s="701"/>
      <c r="E1" s="701"/>
      <c r="F1" s="701"/>
      <c r="G1" s="701"/>
      <c r="H1" s="701"/>
      <c r="I1" s="701"/>
      <c r="J1" s="701"/>
      <c r="K1" s="701"/>
      <c r="L1" s="701"/>
      <c r="M1" s="701"/>
      <c r="N1" s="701"/>
      <c r="O1" s="701"/>
      <c r="P1" s="701"/>
      <c r="Q1" s="701"/>
      <c r="R1" s="701"/>
      <c r="S1" s="701"/>
      <c r="T1" s="701"/>
      <c r="U1" s="701"/>
      <c r="V1" s="701"/>
      <c r="W1" s="701"/>
      <c r="X1" s="886"/>
    </row>
    <row r="2" spans="1:24">
      <c r="A2" s="702"/>
      <c r="B2" s="703"/>
      <c r="C2" s="703"/>
      <c r="D2" s="703"/>
      <c r="E2" s="703"/>
      <c r="F2" s="703"/>
      <c r="G2" s="703"/>
      <c r="H2" s="703"/>
      <c r="I2" s="703"/>
      <c r="J2" s="703"/>
      <c r="K2" s="703"/>
      <c r="L2" s="703"/>
      <c r="M2" s="703"/>
      <c r="N2" s="703"/>
      <c r="O2" s="703"/>
      <c r="P2" s="703"/>
      <c r="Q2" s="703"/>
      <c r="R2" s="703"/>
      <c r="S2" s="703"/>
      <c r="T2" s="703"/>
      <c r="U2" s="703"/>
      <c r="V2" s="703"/>
      <c r="W2" s="703"/>
      <c r="X2" s="887"/>
    </row>
    <row r="3" spans="1:24">
      <c r="A3" s="702"/>
      <c r="B3" s="703"/>
      <c r="C3" s="703"/>
      <c r="D3" s="703"/>
      <c r="E3" s="703"/>
      <c r="F3" s="703"/>
      <c r="G3" s="703"/>
      <c r="H3" s="703"/>
      <c r="I3" s="703"/>
      <c r="J3" s="703"/>
      <c r="K3" s="703"/>
      <c r="L3" s="703"/>
      <c r="M3" s="703"/>
      <c r="N3" s="703"/>
      <c r="O3" s="703"/>
      <c r="P3" s="703"/>
      <c r="Q3" s="703"/>
      <c r="R3" s="703"/>
      <c r="S3" s="703"/>
      <c r="T3" s="703"/>
      <c r="U3" s="703"/>
      <c r="V3" s="703"/>
      <c r="W3" s="703"/>
      <c r="X3" s="887"/>
    </row>
    <row r="4" spans="1:24">
      <c r="A4" s="702"/>
      <c r="B4" s="703"/>
      <c r="C4" s="703"/>
      <c r="D4" s="703"/>
      <c r="E4" s="703"/>
      <c r="F4" s="703"/>
      <c r="G4" s="703"/>
      <c r="H4" s="703"/>
      <c r="I4" s="703"/>
      <c r="J4" s="703"/>
      <c r="K4" s="703"/>
      <c r="L4" s="703"/>
      <c r="M4" s="703"/>
      <c r="N4" s="703"/>
      <c r="O4" s="703"/>
      <c r="P4" s="703"/>
      <c r="Q4" s="703"/>
      <c r="R4" s="703"/>
      <c r="S4" s="703"/>
      <c r="T4" s="703"/>
      <c r="U4" s="703"/>
      <c r="V4" s="703"/>
      <c r="W4" s="703"/>
      <c r="X4" s="887"/>
    </row>
    <row r="5" spans="1:24" ht="13.5" thickBot="1">
      <c r="A5" s="704"/>
      <c r="B5" s="705"/>
      <c r="C5" s="705"/>
      <c r="D5" s="705"/>
      <c r="E5" s="705"/>
      <c r="F5" s="705"/>
      <c r="G5" s="705"/>
      <c r="H5" s="705"/>
      <c r="I5" s="705"/>
      <c r="J5" s="705"/>
      <c r="K5" s="705"/>
      <c r="L5" s="705"/>
      <c r="M5" s="705"/>
      <c r="N5" s="705"/>
      <c r="O5" s="705"/>
      <c r="P5" s="705"/>
      <c r="Q5" s="705"/>
      <c r="R5" s="705"/>
      <c r="S5" s="705"/>
      <c r="T5" s="705"/>
      <c r="U5" s="705"/>
      <c r="V5" s="705"/>
      <c r="W5" s="705"/>
      <c r="X5" s="888"/>
    </row>
    <row r="6" spans="1:24">
      <c r="A6" s="184" t="s">
        <v>307</v>
      </c>
      <c r="B6" s="4"/>
      <c r="C6" s="4"/>
      <c r="D6" s="4"/>
      <c r="E6" s="4"/>
      <c r="F6" s="4"/>
      <c r="G6" s="4"/>
      <c r="H6" s="4"/>
      <c r="I6" s="4"/>
      <c r="J6" s="110"/>
      <c r="K6" s="184" t="s">
        <v>308</v>
      </c>
      <c r="L6" s="4"/>
      <c r="M6" s="31"/>
      <c r="N6" s="4"/>
      <c r="O6" s="4"/>
      <c r="P6" s="4"/>
      <c r="Q6" s="4"/>
      <c r="R6" s="110"/>
      <c r="S6" s="184" t="s">
        <v>309</v>
      </c>
      <c r="T6" s="4"/>
      <c r="U6" s="4"/>
      <c r="V6" s="4"/>
      <c r="W6" s="4"/>
      <c r="X6" s="110"/>
    </row>
    <row r="7" spans="1:24">
      <c r="A7" s="185" t="s">
        <v>96</v>
      </c>
      <c r="B7" s="113"/>
      <c r="C7" s="899" t="str">
        <f>INTRO!D29</f>
        <v>P-NUMBER</v>
      </c>
      <c r="D7" s="899"/>
      <c r="E7" s="899"/>
      <c r="F7" s="899"/>
      <c r="G7" s="899"/>
      <c r="H7" s="113"/>
      <c r="I7" s="113"/>
      <c r="J7" s="114"/>
      <c r="K7" s="185" t="s">
        <v>96</v>
      </c>
      <c r="L7" s="113"/>
      <c r="M7" s="128"/>
      <c r="N7" s="113"/>
      <c r="O7" s="113"/>
      <c r="P7" s="113"/>
      <c r="Q7" s="113"/>
      <c r="R7" s="114"/>
      <c r="S7" s="185" t="s">
        <v>310</v>
      </c>
      <c r="T7" s="113"/>
      <c r="U7" s="113"/>
      <c r="V7" s="554" t="str">
        <f>INTRO!D33</f>
        <v>MODEL / VEHICLE</v>
      </c>
      <c r="W7" s="113"/>
      <c r="X7" s="114"/>
    </row>
    <row r="8" spans="1:24">
      <c r="A8" s="161" t="s">
        <v>307</v>
      </c>
      <c r="B8" s="116"/>
      <c r="C8" s="116"/>
      <c r="D8" s="116"/>
      <c r="E8" s="116"/>
      <c r="F8" s="116"/>
      <c r="G8" s="116"/>
      <c r="H8" s="116"/>
      <c r="I8" s="116"/>
      <c r="J8" s="117"/>
      <c r="K8" s="161" t="s">
        <v>311</v>
      </c>
      <c r="L8" s="116"/>
      <c r="M8" s="121"/>
      <c r="N8" s="116"/>
      <c r="O8" s="117"/>
      <c r="P8" s="161" t="s">
        <v>312</v>
      </c>
      <c r="Q8" s="116"/>
      <c r="R8" s="116"/>
      <c r="S8" s="116"/>
      <c r="T8" s="117"/>
      <c r="U8" s="161" t="s">
        <v>16</v>
      </c>
      <c r="V8" s="116"/>
      <c r="W8" s="116"/>
      <c r="X8" s="117"/>
    </row>
    <row r="9" spans="1:24">
      <c r="A9" s="185" t="s">
        <v>94</v>
      </c>
      <c r="B9" s="113"/>
      <c r="C9" s="554" t="str">
        <f>INTRO!D28</f>
        <v>NAME</v>
      </c>
      <c r="D9" s="113"/>
      <c r="E9" s="113"/>
      <c r="F9" s="113"/>
      <c r="G9" s="113"/>
      <c r="H9" s="113"/>
      <c r="I9" s="113"/>
      <c r="J9" s="114"/>
      <c r="K9" s="185" t="s">
        <v>313</v>
      </c>
      <c r="L9" s="113"/>
      <c r="M9" s="128"/>
      <c r="N9" s="113"/>
      <c r="O9" s="114"/>
      <c r="P9" s="185"/>
      <c r="Q9" s="113" t="str">
        <f>INTRO!D31</f>
        <v>ECN</v>
      </c>
      <c r="R9" s="113"/>
      <c r="S9" s="113"/>
      <c r="T9" s="114"/>
      <c r="U9" s="112"/>
      <c r="V9" s="128"/>
      <c r="W9" s="113"/>
      <c r="X9" s="114"/>
    </row>
    <row r="10" spans="1:24">
      <c r="A10" s="161" t="s">
        <v>314</v>
      </c>
      <c r="B10" s="116"/>
      <c r="C10" s="116"/>
      <c r="D10" s="116"/>
      <c r="E10" s="116"/>
      <c r="F10" s="116"/>
      <c r="G10" s="116"/>
      <c r="H10" s="116"/>
      <c r="I10" s="117"/>
      <c r="J10" s="161" t="s">
        <v>315</v>
      </c>
      <c r="K10" s="116"/>
      <c r="L10" s="116"/>
      <c r="M10" s="116"/>
      <c r="N10" s="116"/>
      <c r="O10" s="116"/>
      <c r="P10" s="116"/>
      <c r="Q10" s="116"/>
      <c r="R10" s="116"/>
      <c r="S10" s="116"/>
      <c r="T10" s="117"/>
      <c r="U10" s="161" t="s">
        <v>316</v>
      </c>
      <c r="V10" s="116"/>
      <c r="W10" s="116"/>
      <c r="X10" s="117"/>
    </row>
    <row r="11" spans="1:24">
      <c r="A11" s="185" t="s">
        <v>94</v>
      </c>
      <c r="B11" s="113"/>
      <c r="C11" s="554" t="str">
        <f>INTRO!D36</f>
        <v>SUPPLIER COMPANY</v>
      </c>
      <c r="D11" s="113"/>
      <c r="E11" s="113"/>
      <c r="F11" s="113"/>
      <c r="G11" s="113"/>
      <c r="H11" s="113"/>
      <c r="I11" s="114"/>
      <c r="J11" s="185" t="s">
        <v>317</v>
      </c>
      <c r="K11" s="113"/>
      <c r="L11" s="113"/>
      <c r="M11" s="113"/>
      <c r="N11" s="113"/>
      <c r="O11" s="113"/>
      <c r="P11" s="113"/>
      <c r="Q11" s="113"/>
      <c r="R11" s="133"/>
      <c r="S11" s="113"/>
      <c r="T11" s="186"/>
      <c r="U11" s="185" t="s">
        <v>313</v>
      </c>
      <c r="V11" s="113"/>
      <c r="W11" s="113" t="str">
        <f>INTRO!D37</f>
        <v>NUMBER</v>
      </c>
      <c r="X11" s="114"/>
    </row>
    <row r="12" spans="1:24">
      <c r="A12" s="161" t="s">
        <v>318</v>
      </c>
      <c r="B12" s="116"/>
      <c r="C12" s="116"/>
      <c r="D12" s="116"/>
      <c r="E12" s="162" t="s">
        <v>319</v>
      </c>
      <c r="F12" s="116"/>
      <c r="G12" s="116"/>
      <c r="H12" s="116"/>
      <c r="I12" s="116"/>
      <c r="J12" s="162" t="s">
        <v>320</v>
      </c>
      <c r="K12" s="116"/>
      <c r="L12" s="116"/>
      <c r="M12" s="116"/>
      <c r="N12" s="116"/>
      <c r="O12" s="116"/>
      <c r="P12" s="162" t="s">
        <v>321</v>
      </c>
      <c r="Q12" s="116"/>
      <c r="R12" s="116"/>
      <c r="S12" s="116"/>
      <c r="T12" s="117"/>
      <c r="U12" s="161" t="s">
        <v>322</v>
      </c>
      <c r="V12" s="116"/>
      <c r="W12" s="116"/>
      <c r="X12" s="117"/>
    </row>
    <row r="13" spans="1:24">
      <c r="A13" s="185" t="s">
        <v>323</v>
      </c>
      <c r="B13" s="113"/>
      <c r="C13" s="113"/>
      <c r="D13" s="113"/>
      <c r="E13" s="187" t="s">
        <v>324</v>
      </c>
      <c r="F13" s="113"/>
      <c r="G13" s="113"/>
      <c r="H13" s="113"/>
      <c r="I13" s="113"/>
      <c r="J13" s="187" t="s">
        <v>325</v>
      </c>
      <c r="K13" s="113"/>
      <c r="L13" s="113"/>
      <c r="M13" s="113"/>
      <c r="N13" s="113"/>
      <c r="O13" s="113"/>
      <c r="P13" s="187" t="s">
        <v>326</v>
      </c>
      <c r="Q13" s="113"/>
      <c r="R13" s="113"/>
      <c r="S13" s="113"/>
      <c r="T13" s="114"/>
      <c r="U13" s="112"/>
      <c r="V13" s="128"/>
      <c r="W13" s="113"/>
      <c r="X13" s="114"/>
    </row>
    <row r="14" spans="1:24" ht="16.5" thickBot="1">
      <c r="A14" s="113"/>
      <c r="B14" s="113"/>
      <c r="C14" s="113"/>
      <c r="D14" s="113"/>
      <c r="E14" s="113"/>
      <c r="F14" s="113"/>
      <c r="G14" s="113"/>
      <c r="H14" s="113"/>
      <c r="I14" s="113"/>
      <c r="J14" s="113"/>
      <c r="K14" s="113"/>
      <c r="L14" s="188" t="s">
        <v>327</v>
      </c>
      <c r="M14" s="113"/>
      <c r="N14" s="113"/>
      <c r="O14" s="113"/>
      <c r="P14" s="113"/>
      <c r="Q14" s="113"/>
      <c r="R14" s="113"/>
      <c r="S14" s="113"/>
      <c r="T14" s="113"/>
      <c r="U14" s="4"/>
    </row>
    <row r="15" spans="1:24">
      <c r="A15" s="109"/>
      <c r="R15" s="233"/>
      <c r="S15" s="234"/>
      <c r="T15" s="234"/>
      <c r="U15" s="235" t="s">
        <v>328</v>
      </c>
      <c r="V15" s="236"/>
      <c r="W15" s="236"/>
      <c r="X15" s="237"/>
    </row>
    <row r="16" spans="1:24">
      <c r="A16" s="112"/>
      <c r="B16" s="113"/>
      <c r="C16" s="113"/>
      <c r="D16" s="113"/>
      <c r="E16" s="113"/>
      <c r="F16" s="113" t="s">
        <v>329</v>
      </c>
      <c r="G16" s="113"/>
      <c r="H16" s="113"/>
      <c r="I16" s="113"/>
      <c r="J16" s="113"/>
      <c r="K16" s="113"/>
      <c r="L16" s="113"/>
      <c r="M16" s="113"/>
      <c r="N16" s="113"/>
      <c r="O16" s="113"/>
      <c r="P16" s="113"/>
      <c r="Q16" s="113"/>
      <c r="R16" s="238" t="s">
        <v>330</v>
      </c>
      <c r="S16" s="234"/>
      <c r="T16" s="234"/>
      <c r="U16" s="239" t="s">
        <v>331</v>
      </c>
      <c r="V16" s="240"/>
      <c r="W16" s="240"/>
      <c r="X16" s="241"/>
    </row>
    <row r="17" spans="1:24">
      <c r="A17" s="129"/>
      <c r="B17" s="128"/>
      <c r="C17" s="128"/>
      <c r="D17" s="128"/>
      <c r="E17" s="128"/>
      <c r="F17" s="128"/>
      <c r="G17" s="128"/>
      <c r="H17" s="128"/>
      <c r="I17" s="129"/>
      <c r="J17" s="128"/>
      <c r="K17" s="128"/>
      <c r="L17" s="128"/>
      <c r="M17" s="128"/>
      <c r="N17" s="128"/>
      <c r="O17" s="128"/>
      <c r="P17" s="128"/>
      <c r="Q17" s="128"/>
      <c r="R17" s="242" t="s">
        <v>332</v>
      </c>
      <c r="S17" s="243"/>
      <c r="T17" s="243"/>
      <c r="U17" s="244" t="s">
        <v>333</v>
      </c>
      <c r="V17" s="243"/>
      <c r="W17" s="243"/>
      <c r="X17" s="245"/>
    </row>
    <row r="18" spans="1:24">
      <c r="A18" s="129"/>
      <c r="B18" s="128"/>
      <c r="C18" s="128"/>
      <c r="D18" s="128"/>
      <c r="E18" s="128"/>
      <c r="F18" s="128"/>
      <c r="G18" s="128"/>
      <c r="H18" s="128"/>
      <c r="I18" s="129"/>
      <c r="J18" s="128"/>
      <c r="K18" s="128"/>
      <c r="L18" s="128"/>
      <c r="M18" s="128"/>
      <c r="N18" s="128"/>
      <c r="O18" s="128"/>
      <c r="P18" s="128"/>
      <c r="Q18" s="128"/>
      <c r="R18" s="893" t="s">
        <v>334</v>
      </c>
      <c r="S18" s="894"/>
      <c r="T18" s="895"/>
      <c r="U18" s="54"/>
      <c r="V18" s="4"/>
      <c r="W18" s="31"/>
      <c r="X18" s="56"/>
    </row>
    <row r="19" spans="1:24">
      <c r="A19" s="129"/>
      <c r="B19" s="128"/>
      <c r="C19" s="128"/>
      <c r="D19" s="128"/>
      <c r="E19" s="128"/>
      <c r="F19" s="128"/>
      <c r="G19" s="128"/>
      <c r="H19" s="128"/>
      <c r="I19" s="129"/>
      <c r="J19" s="128"/>
      <c r="K19" s="128"/>
      <c r="L19" s="128"/>
      <c r="M19" s="128"/>
      <c r="N19" s="128"/>
      <c r="O19" s="128"/>
      <c r="P19" s="128"/>
      <c r="Q19" s="128"/>
      <c r="R19" s="896"/>
      <c r="S19" s="897"/>
      <c r="T19" s="898"/>
      <c r="U19" s="191"/>
      <c r="V19" s="113"/>
      <c r="W19" s="128"/>
      <c r="X19" s="192"/>
    </row>
    <row r="20" spans="1:24">
      <c r="A20" s="129"/>
      <c r="B20" s="128"/>
      <c r="C20" s="128"/>
      <c r="D20" s="128"/>
      <c r="E20" s="128"/>
      <c r="F20" s="128"/>
      <c r="G20" s="128"/>
      <c r="H20" s="128"/>
      <c r="I20" s="129"/>
      <c r="J20" s="128"/>
      <c r="K20" s="128"/>
      <c r="L20" s="128"/>
      <c r="M20" s="128"/>
      <c r="N20" s="128"/>
      <c r="O20" s="128"/>
      <c r="P20" s="128"/>
      <c r="Q20" s="128"/>
      <c r="R20" s="893" t="s">
        <v>334</v>
      </c>
      <c r="S20" s="894"/>
      <c r="T20" s="895"/>
      <c r="U20" s="54"/>
      <c r="V20" s="4"/>
      <c r="W20" s="31"/>
      <c r="X20" s="56"/>
    </row>
    <row r="21" spans="1:24">
      <c r="A21" s="129"/>
      <c r="B21" s="128"/>
      <c r="C21" s="128"/>
      <c r="D21" s="128"/>
      <c r="E21" s="128"/>
      <c r="F21" s="128"/>
      <c r="G21" s="128"/>
      <c r="H21" s="128"/>
      <c r="I21" s="129"/>
      <c r="J21" s="128"/>
      <c r="K21" s="128"/>
      <c r="L21" s="128"/>
      <c r="M21" s="128"/>
      <c r="N21" s="128"/>
      <c r="O21" s="128"/>
      <c r="P21" s="128"/>
      <c r="Q21" s="128"/>
      <c r="R21" s="896"/>
      <c r="S21" s="897"/>
      <c r="T21" s="898"/>
      <c r="U21" s="191"/>
      <c r="V21" s="113"/>
      <c r="W21" s="128"/>
      <c r="X21" s="192"/>
    </row>
    <row r="22" spans="1:24">
      <c r="A22" s="129"/>
      <c r="B22" s="128"/>
      <c r="C22" s="128"/>
      <c r="D22" s="128"/>
      <c r="E22" s="128"/>
      <c r="F22" s="128"/>
      <c r="G22" s="128"/>
      <c r="H22" s="128"/>
      <c r="I22" s="129"/>
      <c r="J22" s="128"/>
      <c r="K22" s="128"/>
      <c r="L22" s="128"/>
      <c r="M22" s="128"/>
      <c r="N22" s="128"/>
      <c r="O22" s="128"/>
      <c r="P22" s="128"/>
      <c r="Q22" s="128"/>
      <c r="R22" s="893" t="s">
        <v>335</v>
      </c>
      <c r="S22" s="894"/>
      <c r="T22" s="895"/>
      <c r="U22" s="54"/>
      <c r="V22" s="4"/>
      <c r="W22" s="31"/>
      <c r="X22" s="56"/>
    </row>
    <row r="23" spans="1:24" ht="13.5" thickBot="1">
      <c r="A23" s="129"/>
      <c r="B23" s="128"/>
      <c r="C23" s="128"/>
      <c r="D23" s="128"/>
      <c r="E23" s="128"/>
      <c r="F23" s="128"/>
      <c r="G23" s="128"/>
      <c r="H23" s="128"/>
      <c r="I23" s="129"/>
      <c r="J23" s="128"/>
      <c r="K23" s="128"/>
      <c r="L23" s="128"/>
      <c r="M23" s="128"/>
      <c r="N23" s="128"/>
      <c r="O23" s="128"/>
      <c r="P23" s="128"/>
      <c r="Q23" s="128"/>
      <c r="R23" s="896"/>
      <c r="S23" s="897"/>
      <c r="T23" s="898"/>
      <c r="U23" s="193"/>
      <c r="V23" s="194"/>
      <c r="W23" s="195"/>
      <c r="X23" s="196"/>
    </row>
    <row r="24" spans="1:24" ht="16.5" thickBot="1">
      <c r="L24" s="197" t="s">
        <v>336</v>
      </c>
    </row>
    <row r="25" spans="1:24">
      <c r="A25" s="198"/>
      <c r="B25" s="115"/>
      <c r="C25" s="116"/>
      <c r="D25" s="116"/>
      <c r="E25" s="116"/>
      <c r="F25" s="117"/>
      <c r="G25" s="198"/>
      <c r="H25" s="117"/>
      <c r="I25" s="117"/>
      <c r="J25" s="117"/>
      <c r="K25" s="32"/>
      <c r="L25" s="33"/>
      <c r="M25" s="33"/>
      <c r="N25" s="199"/>
      <c r="O25" s="200"/>
      <c r="P25" s="199"/>
      <c r="Q25" s="200"/>
      <c r="R25" s="199"/>
      <c r="S25" s="200"/>
      <c r="T25" s="199"/>
      <c r="U25" s="891" t="s">
        <v>337</v>
      </c>
      <c r="V25" s="892"/>
      <c r="W25" s="137" t="s">
        <v>338</v>
      </c>
      <c r="X25" s="201"/>
    </row>
    <row r="26" spans="1:24">
      <c r="A26" s="140" t="s">
        <v>338</v>
      </c>
      <c r="B26" s="109"/>
      <c r="C26" s="4"/>
      <c r="D26" s="46" t="s">
        <v>339</v>
      </c>
      <c r="E26" s="4"/>
      <c r="F26" s="110"/>
      <c r="G26" s="140" t="s">
        <v>340</v>
      </c>
      <c r="H26" s="202" t="s">
        <v>340</v>
      </c>
      <c r="I26" s="202" t="s">
        <v>341</v>
      </c>
      <c r="J26" s="202" t="s">
        <v>341</v>
      </c>
      <c r="K26" s="203" t="s">
        <v>342</v>
      </c>
      <c r="L26" s="204"/>
      <c r="M26" s="204"/>
      <c r="N26" s="205"/>
      <c r="O26" s="206" t="s">
        <v>343</v>
      </c>
      <c r="P26" s="205"/>
      <c r="Q26" s="206" t="s">
        <v>344</v>
      </c>
      <c r="R26" s="205"/>
      <c r="S26" s="206" t="s">
        <v>345</v>
      </c>
      <c r="T26" s="205"/>
      <c r="U26" s="207" t="s">
        <v>346</v>
      </c>
      <c r="V26" s="208"/>
      <c r="W26" s="140" t="s">
        <v>347</v>
      </c>
      <c r="X26" s="209" t="s">
        <v>307</v>
      </c>
    </row>
    <row r="27" spans="1:24">
      <c r="A27" s="143" t="s">
        <v>348</v>
      </c>
      <c r="B27" s="210" t="s">
        <v>349</v>
      </c>
      <c r="C27" s="210" t="s">
        <v>350</v>
      </c>
      <c r="D27" s="210" t="s">
        <v>351</v>
      </c>
      <c r="E27" s="210" t="s">
        <v>352</v>
      </c>
      <c r="F27" s="210" t="s">
        <v>353</v>
      </c>
      <c r="G27" s="143" t="s">
        <v>96</v>
      </c>
      <c r="H27" s="211" t="s">
        <v>16</v>
      </c>
      <c r="I27" s="211" t="s">
        <v>354</v>
      </c>
      <c r="J27" s="211" t="s">
        <v>355</v>
      </c>
      <c r="K27" s="212" t="s">
        <v>356</v>
      </c>
      <c r="L27" s="213" t="s">
        <v>357</v>
      </c>
      <c r="M27" s="213" t="s">
        <v>358</v>
      </c>
      <c r="N27" s="213" t="s">
        <v>359</v>
      </c>
      <c r="O27" s="213" t="s">
        <v>360</v>
      </c>
      <c r="P27" s="213" t="s">
        <v>361</v>
      </c>
      <c r="Q27" s="213" t="s">
        <v>362</v>
      </c>
      <c r="R27" s="213" t="s">
        <v>363</v>
      </c>
      <c r="S27" s="213" t="s">
        <v>364</v>
      </c>
      <c r="T27" s="213" t="s">
        <v>365</v>
      </c>
      <c r="U27" s="213" t="s">
        <v>364</v>
      </c>
      <c r="V27" s="214" t="s">
        <v>365</v>
      </c>
      <c r="W27" s="143" t="s">
        <v>348</v>
      </c>
      <c r="X27" s="215" t="s">
        <v>366</v>
      </c>
    </row>
    <row r="28" spans="1:24">
      <c r="A28" s="216"/>
      <c r="B28" s="216"/>
      <c r="C28" s="216"/>
      <c r="D28" s="216"/>
      <c r="E28" s="216"/>
      <c r="F28" s="216"/>
      <c r="G28" s="216"/>
      <c r="H28" s="216"/>
      <c r="I28" s="216"/>
      <c r="J28" s="216"/>
      <c r="K28" s="217"/>
      <c r="L28" s="216"/>
      <c r="M28" s="216"/>
      <c r="N28" s="216"/>
      <c r="O28" s="216"/>
      <c r="P28" s="216"/>
      <c r="Q28" s="216"/>
      <c r="R28" s="216"/>
      <c r="S28" s="216"/>
      <c r="T28" s="216"/>
      <c r="U28" s="216"/>
      <c r="V28" s="218"/>
      <c r="W28" s="216"/>
      <c r="X28" s="219"/>
    </row>
    <row r="29" spans="1:24">
      <c r="A29" s="216"/>
      <c r="B29" s="216"/>
      <c r="C29" s="216"/>
      <c r="D29" s="216"/>
      <c r="E29" s="216"/>
      <c r="F29" s="216"/>
      <c r="G29" s="216"/>
      <c r="H29" s="216"/>
      <c r="I29" s="216"/>
      <c r="J29" s="216"/>
      <c r="K29" s="217"/>
      <c r="L29" s="216"/>
      <c r="M29" s="216"/>
      <c r="N29" s="216"/>
      <c r="O29" s="216"/>
      <c r="P29" s="216"/>
      <c r="Q29" s="216"/>
      <c r="R29" s="216"/>
      <c r="S29" s="216"/>
      <c r="T29" s="216"/>
      <c r="U29" s="216"/>
      <c r="V29" s="218"/>
      <c r="W29" s="216"/>
      <c r="X29" s="219"/>
    </row>
    <row r="30" spans="1:24">
      <c r="A30" s="216"/>
      <c r="B30" s="216"/>
      <c r="C30" s="216"/>
      <c r="D30" s="216"/>
      <c r="E30" s="216"/>
      <c r="F30" s="216"/>
      <c r="G30" s="216"/>
      <c r="H30" s="216"/>
      <c r="I30" s="216"/>
      <c r="J30" s="216"/>
      <c r="K30" s="217"/>
      <c r="L30" s="216"/>
      <c r="M30" s="216"/>
      <c r="N30" s="216"/>
      <c r="O30" s="216"/>
      <c r="P30" s="216"/>
      <c r="Q30" s="216"/>
      <c r="R30" s="216"/>
      <c r="S30" s="216"/>
      <c r="T30" s="216"/>
      <c r="U30" s="216"/>
      <c r="V30" s="218"/>
      <c r="W30" s="216"/>
      <c r="X30" s="219"/>
    </row>
    <row r="31" spans="1:24">
      <c r="A31" s="216"/>
      <c r="B31" s="216"/>
      <c r="C31" s="216"/>
      <c r="D31" s="216"/>
      <c r="E31" s="216"/>
      <c r="F31" s="216"/>
      <c r="G31" s="216"/>
      <c r="H31" s="216"/>
      <c r="I31" s="216"/>
      <c r="J31" s="216"/>
      <c r="K31" s="217"/>
      <c r="L31" s="216"/>
      <c r="M31" s="216"/>
      <c r="N31" s="216"/>
      <c r="O31" s="216"/>
      <c r="P31" s="216"/>
      <c r="Q31" s="216"/>
      <c r="R31" s="216"/>
      <c r="S31" s="216"/>
      <c r="T31" s="216"/>
      <c r="U31" s="216"/>
      <c r="V31" s="218"/>
      <c r="W31" s="216"/>
      <c r="X31" s="219"/>
    </row>
    <row r="32" spans="1:24">
      <c r="A32" s="216"/>
      <c r="B32" s="216"/>
      <c r="C32" s="216"/>
      <c r="D32" s="216"/>
      <c r="E32" s="216"/>
      <c r="F32" s="216"/>
      <c r="G32" s="216"/>
      <c r="H32" s="216"/>
      <c r="I32" s="216"/>
      <c r="J32" s="216"/>
      <c r="K32" s="217"/>
      <c r="L32" s="216"/>
      <c r="M32" s="216"/>
      <c r="N32" s="216"/>
      <c r="O32" s="216"/>
      <c r="P32" s="216"/>
      <c r="Q32" s="216"/>
      <c r="R32" s="216"/>
      <c r="S32" s="216"/>
      <c r="T32" s="216"/>
      <c r="U32" s="216"/>
      <c r="V32" s="218"/>
      <c r="W32" s="216"/>
      <c r="X32" s="219"/>
    </row>
    <row r="33" spans="1:24">
      <c r="A33" s="216"/>
      <c r="B33" s="216"/>
      <c r="C33" s="216"/>
      <c r="D33" s="216"/>
      <c r="E33" s="216"/>
      <c r="F33" s="216"/>
      <c r="G33" s="216"/>
      <c r="H33" s="216"/>
      <c r="I33" s="216"/>
      <c r="J33" s="216"/>
      <c r="K33" s="217"/>
      <c r="L33" s="216"/>
      <c r="M33" s="216"/>
      <c r="N33" s="216"/>
      <c r="O33" s="216"/>
      <c r="P33" s="216"/>
      <c r="Q33" s="216"/>
      <c r="R33" s="216"/>
      <c r="S33" s="216"/>
      <c r="T33" s="216"/>
      <c r="U33" s="216"/>
      <c r="V33" s="218"/>
      <c r="W33" s="216"/>
      <c r="X33" s="219"/>
    </row>
    <row r="34" spans="1:24">
      <c r="A34" s="216"/>
      <c r="B34" s="216"/>
      <c r="C34" s="216"/>
      <c r="D34" s="216"/>
      <c r="E34" s="216"/>
      <c r="F34" s="216"/>
      <c r="G34" s="216"/>
      <c r="H34" s="216"/>
      <c r="I34" s="216"/>
      <c r="J34" s="216"/>
      <c r="K34" s="217"/>
      <c r="L34" s="216"/>
      <c r="M34" s="216"/>
      <c r="N34" s="216"/>
      <c r="O34" s="216"/>
      <c r="P34" s="216"/>
      <c r="Q34" s="216"/>
      <c r="R34" s="216"/>
      <c r="S34" s="216"/>
      <c r="T34" s="216"/>
      <c r="U34" s="216"/>
      <c r="V34" s="218"/>
      <c r="W34" s="216"/>
      <c r="X34" s="219"/>
    </row>
    <row r="35" spans="1:24" ht="13.5" thickBot="1">
      <c r="A35" s="216"/>
      <c r="B35" s="216"/>
      <c r="C35" s="216"/>
      <c r="D35" s="216"/>
      <c r="E35" s="216"/>
      <c r="F35" s="216"/>
      <c r="G35" s="216"/>
      <c r="H35" s="216"/>
      <c r="I35" s="216"/>
      <c r="J35" s="216"/>
      <c r="K35" s="220"/>
      <c r="L35" s="221"/>
      <c r="M35" s="221"/>
      <c r="N35" s="221"/>
      <c r="O35" s="221"/>
      <c r="P35" s="221"/>
      <c r="Q35" s="221"/>
      <c r="R35" s="221"/>
      <c r="S35" s="221"/>
      <c r="T35" s="221"/>
      <c r="U35" s="221"/>
      <c r="V35" s="222"/>
      <c r="W35" s="216"/>
      <c r="X35" s="223"/>
    </row>
    <row r="36" spans="1:24">
      <c r="A36" s="224" t="s">
        <v>367</v>
      </c>
      <c r="B36" s="225"/>
      <c r="C36" s="226"/>
      <c r="D36" s="226"/>
      <c r="E36" s="226"/>
      <c r="F36" s="226"/>
      <c r="G36" s="226"/>
      <c r="H36" s="226"/>
      <c r="I36" s="226"/>
      <c r="J36" s="226"/>
      <c r="K36" s="226"/>
      <c r="L36" s="226"/>
      <c r="M36" s="226"/>
      <c r="N36" s="226"/>
      <c r="O36" s="226"/>
      <c r="P36" s="226"/>
      <c r="Q36" s="226"/>
      <c r="R36" s="226"/>
      <c r="S36" s="226"/>
      <c r="T36" s="226"/>
      <c r="U36" s="226"/>
      <c r="V36" s="226"/>
      <c r="W36" s="226"/>
      <c r="X36" s="227"/>
    </row>
    <row r="37" spans="1:24">
      <c r="A37" s="129"/>
      <c r="B37" s="128"/>
      <c r="C37" s="128"/>
      <c r="D37" s="128"/>
      <c r="E37" s="128"/>
      <c r="F37" s="128"/>
      <c r="G37" s="128"/>
      <c r="H37" s="128"/>
      <c r="I37" s="128"/>
      <c r="J37" s="128"/>
      <c r="K37" s="128"/>
      <c r="L37" s="128"/>
      <c r="M37" s="128"/>
      <c r="N37" s="128"/>
      <c r="O37" s="128"/>
      <c r="P37" s="128"/>
      <c r="Q37" s="128"/>
      <c r="R37" s="128"/>
      <c r="S37" s="128"/>
      <c r="T37" s="128"/>
      <c r="U37" s="128"/>
      <c r="V37" s="128"/>
      <c r="W37" s="128"/>
      <c r="X37" s="130"/>
    </row>
    <row r="38" spans="1:24" ht="13.5" thickBot="1">
      <c r="A38" s="129"/>
      <c r="B38" s="128"/>
      <c r="C38" s="128"/>
      <c r="D38" s="128"/>
      <c r="E38" s="128"/>
      <c r="F38" s="128"/>
      <c r="G38" s="128"/>
      <c r="H38" s="128"/>
      <c r="I38" s="128"/>
      <c r="J38" s="128"/>
      <c r="K38" s="128"/>
      <c r="L38" s="128"/>
      <c r="M38" s="128"/>
      <c r="N38" s="128"/>
      <c r="O38" s="128"/>
      <c r="P38" s="128"/>
      <c r="Q38" s="128"/>
      <c r="R38" s="128"/>
      <c r="S38" s="128"/>
      <c r="T38" s="128"/>
      <c r="U38" s="128"/>
      <c r="V38" s="128"/>
      <c r="W38" s="128"/>
      <c r="X38" s="130"/>
    </row>
    <row r="39" spans="1:24">
      <c r="A39" s="161" t="s">
        <v>314</v>
      </c>
      <c r="B39" s="116"/>
      <c r="C39" s="121"/>
      <c r="D39" s="121"/>
      <c r="E39" s="121"/>
      <c r="F39" s="121"/>
      <c r="G39" s="122"/>
      <c r="H39" s="161" t="s">
        <v>368</v>
      </c>
      <c r="I39" s="117"/>
      <c r="J39" s="184" t="s">
        <v>16</v>
      </c>
      <c r="M39" s="189" t="s">
        <v>369</v>
      </c>
      <c r="N39" s="33"/>
      <c r="O39" s="228"/>
      <c r="P39" s="228"/>
      <c r="Q39" s="228"/>
      <c r="R39" s="228"/>
      <c r="S39" s="228"/>
      <c r="T39" s="228"/>
      <c r="U39" s="228"/>
      <c r="V39" s="229"/>
      <c r="W39" s="230" t="s">
        <v>16</v>
      </c>
      <c r="X39" s="190"/>
    </row>
    <row r="40" spans="1:24" ht="13.5" thickBot="1">
      <c r="A40" s="185" t="s">
        <v>15</v>
      </c>
      <c r="B40" s="113"/>
      <c r="C40" s="128"/>
      <c r="D40" s="128"/>
      <c r="E40" s="128"/>
      <c r="F40" s="128"/>
      <c r="G40" s="130"/>
      <c r="H40" s="881"/>
      <c r="I40" s="882"/>
      <c r="J40" s="881"/>
      <c r="K40" s="883"/>
      <c r="L40" s="884"/>
      <c r="M40" s="231" t="s">
        <v>370</v>
      </c>
      <c r="N40" s="194"/>
      <c r="O40" s="195"/>
      <c r="P40" s="195"/>
      <c r="Q40" s="195"/>
      <c r="R40" s="195"/>
      <c r="S40" s="195"/>
      <c r="T40" s="195"/>
      <c r="U40" s="195"/>
      <c r="V40" s="232"/>
      <c r="W40" s="889"/>
      <c r="X40" s="890"/>
    </row>
  </sheetData>
  <mergeCells count="9">
    <mergeCell ref="H40:I40"/>
    <mergeCell ref="J40:L40"/>
    <mergeCell ref="A1:X5"/>
    <mergeCell ref="W40:X40"/>
    <mergeCell ref="U25:V25"/>
    <mergeCell ref="R18:T19"/>
    <mergeCell ref="R20:T21"/>
    <mergeCell ref="R22:T23"/>
    <mergeCell ref="C7:G7"/>
  </mergeCells>
  <phoneticPr fontId="26" type="noConversion"/>
  <printOptions horizontalCentered="1" verticalCentered="1"/>
  <pageMargins left="0.25" right="0.25" top="0.41" bottom="0.8125" header="0.17" footer="0.16"/>
  <pageSetup fitToHeight="27" orientation="landscape" r:id="rId1"/>
  <headerFooter alignWithMargins="0">
    <oddFooter xml:space="preserve">&amp;L&amp;6&amp;Z&amp;F&amp;CQAI_6012 AAR Mobility PPAP Workbook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6563" r:id="rId4" name="Check Box 3">
              <controlPr locked="0" defaultSize="0" autoFill="0" autoLine="0" autoPict="0">
                <anchor moveWithCells="1">
                  <from>
                    <xdr:col>3</xdr:col>
                    <xdr:colOff>57150</xdr:colOff>
                    <xdr:row>10</xdr:row>
                    <xdr:rowOff>133350</xdr:rowOff>
                  </from>
                  <to>
                    <xdr:col>4</xdr:col>
                    <xdr:colOff>104775</xdr:colOff>
                    <xdr:row>12</xdr:row>
                    <xdr:rowOff>19050</xdr:rowOff>
                  </to>
                </anchor>
              </controlPr>
            </control>
          </mc:Choice>
        </mc:AlternateContent>
        <mc:AlternateContent xmlns:mc="http://schemas.openxmlformats.org/markup-compatibility/2006">
          <mc:Choice Requires="x14">
            <control shapeId="66564" r:id="rId5" name="Check Box 4">
              <controlPr locked="0" defaultSize="0" autoFill="0" autoLine="0" autoPict="0">
                <anchor moveWithCells="1">
                  <from>
                    <xdr:col>3</xdr:col>
                    <xdr:colOff>57150</xdr:colOff>
                    <xdr:row>11</xdr:row>
                    <xdr:rowOff>133350</xdr:rowOff>
                  </from>
                  <to>
                    <xdr:col>4</xdr:col>
                    <xdr:colOff>104775</xdr:colOff>
                    <xdr:row>13</xdr:row>
                    <xdr:rowOff>19050</xdr:rowOff>
                  </to>
                </anchor>
              </controlPr>
            </control>
          </mc:Choice>
        </mc:AlternateContent>
        <mc:AlternateContent xmlns:mc="http://schemas.openxmlformats.org/markup-compatibility/2006">
          <mc:Choice Requires="x14">
            <control shapeId="66565" r:id="rId6" name="Check Box 5">
              <controlPr locked="0" defaultSize="0" autoFill="0" autoLine="0" autoPict="0">
                <anchor moveWithCells="1">
                  <from>
                    <xdr:col>8</xdr:col>
                    <xdr:colOff>285750</xdr:colOff>
                    <xdr:row>11</xdr:row>
                    <xdr:rowOff>133350</xdr:rowOff>
                  </from>
                  <to>
                    <xdr:col>9</xdr:col>
                    <xdr:colOff>76200</xdr:colOff>
                    <xdr:row>13</xdr:row>
                    <xdr:rowOff>19050</xdr:rowOff>
                  </to>
                </anchor>
              </controlPr>
            </control>
          </mc:Choice>
        </mc:AlternateContent>
        <mc:AlternateContent xmlns:mc="http://schemas.openxmlformats.org/markup-compatibility/2006">
          <mc:Choice Requires="x14">
            <control shapeId="66566" r:id="rId7" name="Check Box 6">
              <controlPr locked="0" defaultSize="0" autoFill="0" autoLine="0" autoPict="0">
                <anchor moveWithCells="1">
                  <from>
                    <xdr:col>8</xdr:col>
                    <xdr:colOff>285750</xdr:colOff>
                    <xdr:row>10</xdr:row>
                    <xdr:rowOff>142875</xdr:rowOff>
                  </from>
                  <to>
                    <xdr:col>9</xdr:col>
                    <xdr:colOff>76200</xdr:colOff>
                    <xdr:row>12</xdr:row>
                    <xdr:rowOff>28575</xdr:rowOff>
                  </to>
                </anchor>
              </controlPr>
            </control>
          </mc:Choice>
        </mc:AlternateContent>
        <mc:AlternateContent xmlns:mc="http://schemas.openxmlformats.org/markup-compatibility/2006">
          <mc:Choice Requires="x14">
            <control shapeId="66567" r:id="rId8" name="Check Box 7">
              <controlPr locked="0" defaultSize="0" autoFill="0" autoLine="0" autoPict="0">
                <anchor moveWithCells="1">
                  <from>
                    <xdr:col>14</xdr:col>
                    <xdr:colOff>76200</xdr:colOff>
                    <xdr:row>10</xdr:row>
                    <xdr:rowOff>133350</xdr:rowOff>
                  </from>
                  <to>
                    <xdr:col>15</xdr:col>
                    <xdr:colOff>85725</xdr:colOff>
                    <xdr:row>12</xdr:row>
                    <xdr:rowOff>19050</xdr:rowOff>
                  </to>
                </anchor>
              </controlPr>
            </control>
          </mc:Choice>
        </mc:AlternateContent>
        <mc:AlternateContent xmlns:mc="http://schemas.openxmlformats.org/markup-compatibility/2006">
          <mc:Choice Requires="x14">
            <control shapeId="66568" r:id="rId9" name="Check Box 8">
              <controlPr locked="0" defaultSize="0" autoFill="0" autoLine="0" autoPict="0">
                <anchor moveWithCells="1">
                  <from>
                    <xdr:col>14</xdr:col>
                    <xdr:colOff>76200</xdr:colOff>
                    <xdr:row>11</xdr:row>
                    <xdr:rowOff>133350</xdr:rowOff>
                  </from>
                  <to>
                    <xdr:col>15</xdr:col>
                    <xdr:colOff>85725</xdr:colOff>
                    <xdr:row>13</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indexed="11"/>
    <pageSetUpPr fitToPage="1"/>
  </sheetPr>
  <dimension ref="A1:R53"/>
  <sheetViews>
    <sheetView zoomScaleNormal="100" workbookViewId="0">
      <pane ySplit="19" topLeftCell="A20" activePane="bottomLeft" state="frozen"/>
      <selection activeCell="O21" sqref="O21"/>
      <selection pane="bottomLeft" activeCell="O21" sqref="O21"/>
    </sheetView>
  </sheetViews>
  <sheetFormatPr defaultColWidth="9.140625" defaultRowHeight="12.75"/>
  <cols>
    <col min="1" max="1" width="10.140625" style="1" customWidth="1"/>
    <col min="2" max="3" width="15.5703125" style="1" customWidth="1"/>
    <col min="4" max="4" width="18.85546875" style="1" customWidth="1"/>
    <col min="5" max="5" width="4" style="6" customWidth="1"/>
    <col min="6" max="6" width="4.28515625" style="6" customWidth="1"/>
    <col min="7" max="7" width="19.7109375" style="1" customWidth="1"/>
    <col min="8" max="8" width="3.28515625" style="6" customWidth="1"/>
    <col min="9" max="9" width="19.7109375" style="1" customWidth="1"/>
    <col min="10" max="10" width="3.28515625" style="6" customWidth="1"/>
    <col min="11" max="11" width="4.140625" style="6" customWidth="1"/>
    <col min="12" max="12" width="12.42578125" style="1" customWidth="1"/>
    <col min="13" max="13" width="10.5703125" style="1" customWidth="1"/>
    <col min="14" max="14" width="12.28515625" style="1" customWidth="1"/>
    <col min="15" max="17" width="3.42578125" style="6" customWidth="1"/>
    <col min="18" max="18" width="3.85546875" style="6" customWidth="1"/>
    <col min="19" max="16384" width="9.140625" style="1"/>
  </cols>
  <sheetData>
    <row r="1" spans="1:18">
      <c r="A1" s="885" t="s">
        <v>279</v>
      </c>
      <c r="B1" s="707"/>
      <c r="C1" s="707"/>
      <c r="D1" s="707"/>
      <c r="E1" s="707"/>
      <c r="F1" s="707"/>
      <c r="G1" s="707"/>
      <c r="H1" s="707"/>
      <c r="I1" s="707"/>
      <c r="J1" s="707"/>
      <c r="K1" s="707"/>
      <c r="L1" s="707"/>
      <c r="M1" s="707"/>
      <c r="N1" s="707"/>
      <c r="O1" s="707"/>
      <c r="P1" s="707"/>
      <c r="Q1" s="707"/>
      <c r="R1" s="708"/>
    </row>
    <row r="2" spans="1:18">
      <c r="A2" s="900"/>
      <c r="B2" s="709"/>
      <c r="C2" s="709"/>
      <c r="D2" s="709"/>
      <c r="E2" s="709"/>
      <c r="F2" s="709"/>
      <c r="G2" s="709"/>
      <c r="H2" s="709"/>
      <c r="I2" s="709"/>
      <c r="J2" s="709"/>
      <c r="K2" s="709"/>
      <c r="L2" s="709"/>
      <c r="M2" s="709"/>
      <c r="N2" s="709"/>
      <c r="O2" s="709"/>
      <c r="P2" s="709"/>
      <c r="Q2" s="709"/>
      <c r="R2" s="710"/>
    </row>
    <row r="3" spans="1:18">
      <c r="A3" s="900"/>
      <c r="B3" s="709"/>
      <c r="C3" s="709"/>
      <c r="D3" s="709"/>
      <c r="E3" s="709"/>
      <c r="F3" s="709"/>
      <c r="G3" s="709"/>
      <c r="H3" s="709"/>
      <c r="I3" s="709"/>
      <c r="J3" s="709"/>
      <c r="K3" s="709"/>
      <c r="L3" s="709"/>
      <c r="M3" s="709"/>
      <c r="N3" s="709"/>
      <c r="O3" s="709"/>
      <c r="P3" s="709"/>
      <c r="Q3" s="709"/>
      <c r="R3" s="710"/>
    </row>
    <row r="4" spans="1:18" ht="28.5" customHeight="1" thickBot="1">
      <c r="A4" s="901"/>
      <c r="B4" s="711"/>
      <c r="C4" s="711"/>
      <c r="D4" s="711"/>
      <c r="E4" s="711"/>
      <c r="F4" s="711"/>
      <c r="G4" s="711"/>
      <c r="H4" s="711"/>
      <c r="I4" s="711"/>
      <c r="J4" s="711"/>
      <c r="K4" s="711"/>
      <c r="L4" s="711"/>
      <c r="M4" s="711"/>
      <c r="N4" s="711"/>
      <c r="O4" s="711"/>
      <c r="P4" s="711"/>
      <c r="Q4" s="711"/>
      <c r="R4" s="712"/>
    </row>
    <row r="5" spans="1:18">
      <c r="A5" s="133" t="s">
        <v>154</v>
      </c>
      <c r="B5" s="47" t="s">
        <v>280</v>
      </c>
      <c r="C5" s="47"/>
      <c r="H5" s="30"/>
      <c r="O5" s="1"/>
    </row>
    <row r="6" spans="1:18">
      <c r="A6" s="181"/>
      <c r="B6" s="47"/>
      <c r="C6" s="47"/>
      <c r="H6" s="132"/>
      <c r="O6" s="1"/>
    </row>
    <row r="7" spans="1:18">
      <c r="A7" s="133"/>
      <c r="B7" s="47" t="s">
        <v>281</v>
      </c>
      <c r="C7" s="47"/>
      <c r="F7" s="1"/>
      <c r="G7" s="11" t="s">
        <v>283</v>
      </c>
      <c r="H7" s="133" t="s">
        <v>154</v>
      </c>
      <c r="I7" s="133"/>
      <c r="J7" s="133"/>
      <c r="K7" s="133"/>
      <c r="M7" s="11" t="s">
        <v>26</v>
      </c>
      <c r="N7" s="906"/>
      <c r="O7" s="906"/>
      <c r="P7" s="906"/>
      <c r="Q7" s="906"/>
    </row>
    <row r="8" spans="1:18" ht="6.75" customHeight="1">
      <c r="A8" s="181"/>
      <c r="B8" s="47"/>
      <c r="C8" s="47"/>
      <c r="H8" s="134"/>
      <c r="I8" s="134"/>
      <c r="J8" s="134"/>
      <c r="K8" s="134"/>
      <c r="O8" s="1"/>
    </row>
    <row r="9" spans="1:18">
      <c r="A9" s="133"/>
      <c r="B9" s="47" t="s">
        <v>282</v>
      </c>
      <c r="C9" s="47"/>
      <c r="D9" s="905"/>
      <c r="E9" s="905"/>
      <c r="G9" s="11" t="s">
        <v>742</v>
      </c>
      <c r="H9" s="883"/>
      <c r="I9" s="883"/>
      <c r="J9" s="883"/>
      <c r="K9" s="883"/>
      <c r="M9" s="11" t="s">
        <v>27</v>
      </c>
      <c r="N9" s="883"/>
      <c r="O9" s="883"/>
      <c r="P9" s="883"/>
      <c r="Q9" s="883"/>
    </row>
    <row r="10" spans="1:18" ht="6.75" customHeight="1">
      <c r="O10" s="1"/>
    </row>
    <row r="11" spans="1:18">
      <c r="A11" s="914" t="s">
        <v>741</v>
      </c>
      <c r="B11" s="915"/>
      <c r="C11" s="913" t="str">
        <f>INTRO!D33</f>
        <v>MODEL / VEHICLE</v>
      </c>
      <c r="D11" s="913"/>
      <c r="E11" s="913"/>
      <c r="M11" s="1" t="s">
        <v>743</v>
      </c>
      <c r="N11" s="883"/>
      <c r="O11" s="883"/>
      <c r="P11" s="883"/>
      <c r="Q11" s="883"/>
    </row>
    <row r="12" spans="1:18" ht="6.75" customHeight="1">
      <c r="O12" s="1"/>
    </row>
    <row r="13" spans="1:18">
      <c r="A13" s="72" t="s">
        <v>284</v>
      </c>
      <c r="B13" s="113"/>
      <c r="C13" s="113"/>
      <c r="D13" s="113"/>
      <c r="E13" s="133"/>
      <c r="F13" s="133"/>
      <c r="G13" s="113"/>
      <c r="H13" s="133"/>
      <c r="I13" s="113"/>
      <c r="J13" s="133"/>
      <c r="K13" s="133"/>
      <c r="M13" s="1" t="s">
        <v>744</v>
      </c>
      <c r="N13" s="883"/>
      <c r="O13" s="883"/>
      <c r="P13" s="883"/>
      <c r="Q13" s="883"/>
    </row>
    <row r="14" spans="1:18" ht="8.25" customHeight="1"/>
    <row r="15" spans="1:18" ht="9.75" customHeight="1">
      <c r="A15" s="902" t="s">
        <v>285</v>
      </c>
      <c r="B15" s="902" t="s">
        <v>736</v>
      </c>
      <c r="C15" s="902" t="s">
        <v>286</v>
      </c>
      <c r="D15" s="902" t="s">
        <v>287</v>
      </c>
      <c r="E15" s="135"/>
      <c r="F15" s="136" t="s">
        <v>30</v>
      </c>
      <c r="G15" s="902" t="s">
        <v>288</v>
      </c>
      <c r="H15" s="137" t="s">
        <v>31</v>
      </c>
      <c r="I15" s="137" t="s">
        <v>36</v>
      </c>
      <c r="J15" s="137" t="s">
        <v>32</v>
      </c>
      <c r="K15" s="137"/>
      <c r="L15" s="902" t="s">
        <v>289</v>
      </c>
      <c r="M15" s="902" t="s">
        <v>290</v>
      </c>
      <c r="N15" s="907" t="s">
        <v>39</v>
      </c>
      <c r="O15" s="908"/>
      <c r="P15" s="908"/>
      <c r="Q15" s="908"/>
      <c r="R15" s="909"/>
    </row>
    <row r="16" spans="1:18" ht="9.75" customHeight="1">
      <c r="A16" s="903"/>
      <c r="B16" s="903"/>
      <c r="C16" s="903"/>
      <c r="D16" s="903"/>
      <c r="E16" s="138" t="s">
        <v>33</v>
      </c>
      <c r="F16" s="139" t="s">
        <v>34</v>
      </c>
      <c r="G16" s="903"/>
      <c r="H16" s="140" t="s">
        <v>35</v>
      </c>
      <c r="I16" s="140" t="s">
        <v>291</v>
      </c>
      <c r="J16" s="140" t="s">
        <v>37</v>
      </c>
      <c r="K16" s="140" t="s">
        <v>38</v>
      </c>
      <c r="L16" s="903"/>
      <c r="M16" s="903"/>
      <c r="N16" s="910"/>
      <c r="O16" s="911"/>
      <c r="P16" s="911"/>
      <c r="Q16" s="911"/>
      <c r="R16" s="912"/>
    </row>
    <row r="17" spans="1:18" ht="9.75" customHeight="1">
      <c r="A17" s="903"/>
      <c r="B17" s="903"/>
      <c r="C17" s="903"/>
      <c r="D17" s="903"/>
      <c r="E17" s="138" t="s">
        <v>37</v>
      </c>
      <c r="F17" s="139" t="s">
        <v>40</v>
      </c>
      <c r="G17" s="903"/>
      <c r="H17" s="140" t="s">
        <v>35</v>
      </c>
      <c r="I17" s="140" t="s">
        <v>46</v>
      </c>
      <c r="J17" s="140" t="s">
        <v>41</v>
      </c>
      <c r="K17" s="140" t="s">
        <v>42</v>
      </c>
      <c r="L17" s="903"/>
      <c r="M17" s="903"/>
      <c r="N17" s="902" t="s">
        <v>292</v>
      </c>
      <c r="O17" s="137" t="s">
        <v>33</v>
      </c>
      <c r="P17" s="137" t="s">
        <v>31</v>
      </c>
      <c r="Q17" s="137" t="s">
        <v>32</v>
      </c>
      <c r="R17" s="137" t="s">
        <v>38</v>
      </c>
    </row>
    <row r="18" spans="1:18" ht="9.75" customHeight="1">
      <c r="A18" s="903"/>
      <c r="B18" s="903"/>
      <c r="C18" s="903"/>
      <c r="D18" s="903"/>
      <c r="E18" s="138" t="s">
        <v>43</v>
      </c>
      <c r="F18" s="139" t="s">
        <v>44</v>
      </c>
      <c r="G18" s="903"/>
      <c r="H18" s="140" t="s">
        <v>45</v>
      </c>
      <c r="I18" s="140" t="s">
        <v>293</v>
      </c>
      <c r="J18" s="140" t="s">
        <v>37</v>
      </c>
      <c r="K18" s="140" t="s">
        <v>47</v>
      </c>
      <c r="L18" s="903"/>
      <c r="M18" s="903"/>
      <c r="N18" s="903"/>
      <c r="O18" s="140" t="s">
        <v>37</v>
      </c>
      <c r="P18" s="140" t="s">
        <v>35</v>
      </c>
      <c r="Q18" s="140" t="s">
        <v>37</v>
      </c>
      <c r="R18" s="140" t="s">
        <v>42</v>
      </c>
    </row>
    <row r="19" spans="1:18" ht="9.75" customHeight="1">
      <c r="A19" s="904"/>
      <c r="B19" s="904"/>
      <c r="C19" s="904"/>
      <c r="D19" s="904"/>
      <c r="E19" s="141"/>
      <c r="F19" s="142" t="s">
        <v>44</v>
      </c>
      <c r="G19" s="904"/>
      <c r="H19" s="143" t="s">
        <v>48</v>
      </c>
      <c r="I19" s="143" t="s">
        <v>294</v>
      </c>
      <c r="J19" s="143" t="s">
        <v>35</v>
      </c>
      <c r="K19" s="143"/>
      <c r="L19" s="904"/>
      <c r="M19" s="904"/>
      <c r="N19" s="904"/>
      <c r="O19" s="143" t="s">
        <v>43</v>
      </c>
      <c r="P19" s="143" t="s">
        <v>35</v>
      </c>
      <c r="Q19" s="143" t="s">
        <v>41</v>
      </c>
      <c r="R19" s="143" t="s">
        <v>47</v>
      </c>
    </row>
    <row r="20" spans="1:18">
      <c r="A20" s="588"/>
      <c r="B20" s="588"/>
      <c r="C20" s="588"/>
      <c r="D20" s="588"/>
      <c r="E20" s="589"/>
      <c r="F20" s="589"/>
      <c r="G20" s="588"/>
      <c r="H20" s="589"/>
      <c r="I20" s="588"/>
      <c r="J20" s="589"/>
      <c r="K20" s="589" t="str">
        <f t="shared" ref="K20:K53" si="0">IF(E20&lt;&gt;"",E20*H20*J20,"")</f>
        <v/>
      </c>
      <c r="L20" s="588"/>
      <c r="M20" s="588"/>
      <c r="N20" s="588"/>
      <c r="O20" s="589"/>
      <c r="P20" s="589"/>
      <c r="Q20" s="589"/>
      <c r="R20" s="589" t="str">
        <f t="shared" ref="R20:R53" si="1">IF(O20&lt;&gt;"",O20*P20*Q20,"")</f>
        <v/>
      </c>
    </row>
    <row r="21" spans="1:18">
      <c r="A21" s="588"/>
      <c r="B21" s="588"/>
      <c r="C21" s="588"/>
      <c r="D21" s="588"/>
      <c r="E21" s="589"/>
      <c r="F21" s="589"/>
      <c r="G21" s="588"/>
      <c r="H21" s="589"/>
      <c r="I21" s="588"/>
      <c r="J21" s="589"/>
      <c r="K21" s="589" t="str">
        <f t="shared" si="0"/>
        <v/>
      </c>
      <c r="L21" s="588"/>
      <c r="M21" s="588"/>
      <c r="N21" s="588"/>
      <c r="O21" s="589"/>
      <c r="P21" s="589"/>
      <c r="Q21" s="589"/>
      <c r="R21" s="589" t="str">
        <f t="shared" si="1"/>
        <v/>
      </c>
    </row>
    <row r="22" spans="1:18">
      <c r="A22" s="588"/>
      <c r="B22" s="588"/>
      <c r="C22" s="588"/>
      <c r="D22" s="588"/>
      <c r="E22" s="589"/>
      <c r="F22" s="589"/>
      <c r="G22" s="588"/>
      <c r="H22" s="589"/>
      <c r="I22" s="588"/>
      <c r="J22" s="589"/>
      <c r="K22" s="589" t="str">
        <f t="shared" si="0"/>
        <v/>
      </c>
      <c r="L22" s="588"/>
      <c r="M22" s="588"/>
      <c r="N22" s="588"/>
      <c r="O22" s="589"/>
      <c r="P22" s="589"/>
      <c r="Q22" s="589"/>
      <c r="R22" s="589" t="str">
        <f t="shared" si="1"/>
        <v/>
      </c>
    </row>
    <row r="23" spans="1:18">
      <c r="A23" s="588"/>
      <c r="B23" s="588"/>
      <c r="C23" s="588"/>
      <c r="D23" s="588"/>
      <c r="E23" s="589"/>
      <c r="F23" s="589"/>
      <c r="G23" s="588"/>
      <c r="H23" s="589"/>
      <c r="I23" s="588"/>
      <c r="J23" s="589"/>
      <c r="K23" s="589" t="str">
        <f t="shared" si="0"/>
        <v/>
      </c>
      <c r="L23" s="588"/>
      <c r="M23" s="588"/>
      <c r="N23" s="588"/>
      <c r="O23" s="589"/>
      <c r="P23" s="589"/>
      <c r="Q23" s="589"/>
      <c r="R23" s="589" t="str">
        <f t="shared" si="1"/>
        <v/>
      </c>
    </row>
    <row r="24" spans="1:18">
      <c r="A24" s="588"/>
      <c r="B24" s="588"/>
      <c r="C24" s="588"/>
      <c r="D24" s="588"/>
      <c r="E24" s="589"/>
      <c r="F24" s="589"/>
      <c r="G24" s="588"/>
      <c r="H24" s="589"/>
      <c r="I24" s="588"/>
      <c r="J24" s="589"/>
      <c r="K24" s="589" t="str">
        <f t="shared" si="0"/>
        <v/>
      </c>
      <c r="L24" s="588"/>
      <c r="M24" s="588"/>
      <c r="N24" s="588"/>
      <c r="O24" s="589"/>
      <c r="P24" s="589"/>
      <c r="Q24" s="589"/>
      <c r="R24" s="589" t="str">
        <f t="shared" si="1"/>
        <v/>
      </c>
    </row>
    <row r="25" spans="1:18">
      <c r="A25" s="588"/>
      <c r="B25" s="588"/>
      <c r="C25" s="588"/>
      <c r="D25" s="588"/>
      <c r="E25" s="589"/>
      <c r="F25" s="589"/>
      <c r="G25" s="588"/>
      <c r="H25" s="589"/>
      <c r="I25" s="588"/>
      <c r="J25" s="589"/>
      <c r="K25" s="589" t="str">
        <f t="shared" si="0"/>
        <v/>
      </c>
      <c r="L25" s="588"/>
      <c r="M25" s="588"/>
      <c r="N25" s="588"/>
      <c r="O25" s="589"/>
      <c r="P25" s="589"/>
      <c r="Q25" s="589"/>
      <c r="R25" s="589" t="str">
        <f t="shared" si="1"/>
        <v/>
      </c>
    </row>
    <row r="26" spans="1:18">
      <c r="A26" s="588"/>
      <c r="B26" s="588"/>
      <c r="C26" s="588"/>
      <c r="D26" s="588"/>
      <c r="E26" s="589"/>
      <c r="F26" s="589"/>
      <c r="G26" s="588"/>
      <c r="H26" s="589"/>
      <c r="I26" s="588"/>
      <c r="J26" s="589"/>
      <c r="K26" s="589" t="str">
        <f t="shared" si="0"/>
        <v/>
      </c>
      <c r="L26" s="588"/>
      <c r="M26" s="588"/>
      <c r="N26" s="588"/>
      <c r="O26" s="589"/>
      <c r="P26" s="589"/>
      <c r="Q26" s="589"/>
      <c r="R26" s="589" t="str">
        <f t="shared" si="1"/>
        <v/>
      </c>
    </row>
    <row r="27" spans="1:18">
      <c r="A27" s="588"/>
      <c r="B27" s="588"/>
      <c r="C27" s="588"/>
      <c r="D27" s="588"/>
      <c r="E27" s="589"/>
      <c r="F27" s="589"/>
      <c r="G27" s="588"/>
      <c r="H27" s="589"/>
      <c r="I27" s="588"/>
      <c r="J27" s="589"/>
      <c r="K27" s="589" t="str">
        <f t="shared" si="0"/>
        <v/>
      </c>
      <c r="L27" s="588"/>
      <c r="M27" s="588"/>
      <c r="N27" s="588"/>
      <c r="O27" s="589"/>
      <c r="P27" s="589"/>
      <c r="Q27" s="589"/>
      <c r="R27" s="589" t="str">
        <f t="shared" si="1"/>
        <v/>
      </c>
    </row>
    <row r="28" spans="1:18">
      <c r="A28" s="588"/>
      <c r="B28" s="588"/>
      <c r="C28" s="588"/>
      <c r="D28" s="588"/>
      <c r="E28" s="589"/>
      <c r="F28" s="589"/>
      <c r="G28" s="588"/>
      <c r="H28" s="589"/>
      <c r="I28" s="588"/>
      <c r="J28" s="589"/>
      <c r="K28" s="589" t="str">
        <f t="shared" si="0"/>
        <v/>
      </c>
      <c r="L28" s="588"/>
      <c r="M28" s="588"/>
      <c r="N28" s="588"/>
      <c r="O28" s="589"/>
      <c r="P28" s="589"/>
      <c r="Q28" s="589"/>
      <c r="R28" s="589" t="str">
        <f t="shared" si="1"/>
        <v/>
      </c>
    </row>
    <row r="29" spans="1:18">
      <c r="A29" s="588"/>
      <c r="B29" s="588"/>
      <c r="C29" s="588"/>
      <c r="D29" s="588"/>
      <c r="E29" s="589"/>
      <c r="F29" s="589"/>
      <c r="G29" s="588"/>
      <c r="H29" s="589"/>
      <c r="I29" s="588"/>
      <c r="J29" s="589"/>
      <c r="K29" s="589" t="str">
        <f t="shared" si="0"/>
        <v/>
      </c>
      <c r="L29" s="588"/>
      <c r="M29" s="588"/>
      <c r="N29" s="588"/>
      <c r="O29" s="589"/>
      <c r="P29" s="589"/>
      <c r="Q29" s="589"/>
      <c r="R29" s="589" t="str">
        <f t="shared" si="1"/>
        <v/>
      </c>
    </row>
    <row r="30" spans="1:18">
      <c r="A30" s="588"/>
      <c r="B30" s="588"/>
      <c r="C30" s="588"/>
      <c r="D30" s="588"/>
      <c r="E30" s="589"/>
      <c r="F30" s="589"/>
      <c r="G30" s="588"/>
      <c r="H30" s="589"/>
      <c r="I30" s="588"/>
      <c r="J30" s="589"/>
      <c r="K30" s="589" t="str">
        <f t="shared" si="0"/>
        <v/>
      </c>
      <c r="L30" s="588"/>
      <c r="M30" s="588"/>
      <c r="N30" s="588"/>
      <c r="O30" s="589"/>
      <c r="P30" s="589"/>
      <c r="Q30" s="589"/>
      <c r="R30" s="589" t="str">
        <f t="shared" si="1"/>
        <v/>
      </c>
    </row>
    <row r="31" spans="1:18">
      <c r="A31" s="588"/>
      <c r="B31" s="588"/>
      <c r="C31" s="588"/>
      <c r="D31" s="588"/>
      <c r="E31" s="589"/>
      <c r="F31" s="589"/>
      <c r="G31" s="588"/>
      <c r="H31" s="589"/>
      <c r="I31" s="588"/>
      <c r="J31" s="589"/>
      <c r="K31" s="589" t="str">
        <f t="shared" si="0"/>
        <v/>
      </c>
      <c r="L31" s="588"/>
      <c r="M31" s="588"/>
      <c r="N31" s="588"/>
      <c r="O31" s="589"/>
      <c r="P31" s="589"/>
      <c r="Q31" s="589"/>
      <c r="R31" s="589" t="str">
        <f t="shared" si="1"/>
        <v/>
      </c>
    </row>
    <row r="32" spans="1:18">
      <c r="A32" s="588"/>
      <c r="B32" s="588"/>
      <c r="C32" s="588"/>
      <c r="D32" s="588"/>
      <c r="E32" s="589"/>
      <c r="F32" s="589"/>
      <c r="G32" s="588"/>
      <c r="H32" s="589"/>
      <c r="I32" s="588"/>
      <c r="J32" s="589"/>
      <c r="K32" s="589" t="str">
        <f t="shared" si="0"/>
        <v/>
      </c>
      <c r="L32" s="588"/>
      <c r="M32" s="588"/>
      <c r="N32" s="588"/>
      <c r="O32" s="589"/>
      <c r="P32" s="589"/>
      <c r="Q32" s="589"/>
      <c r="R32" s="589" t="str">
        <f t="shared" si="1"/>
        <v/>
      </c>
    </row>
    <row r="33" spans="1:18">
      <c r="A33" s="588"/>
      <c r="B33" s="588"/>
      <c r="C33" s="588"/>
      <c r="D33" s="588"/>
      <c r="E33" s="589"/>
      <c r="F33" s="589"/>
      <c r="G33" s="588"/>
      <c r="H33" s="589"/>
      <c r="I33" s="588"/>
      <c r="J33" s="589"/>
      <c r="K33" s="589" t="str">
        <f t="shared" si="0"/>
        <v/>
      </c>
      <c r="L33" s="588"/>
      <c r="M33" s="588"/>
      <c r="N33" s="588"/>
      <c r="O33" s="589"/>
      <c r="P33" s="589"/>
      <c r="Q33" s="589"/>
      <c r="R33" s="589" t="str">
        <f t="shared" si="1"/>
        <v/>
      </c>
    </row>
    <row r="34" spans="1:18">
      <c r="A34" s="588"/>
      <c r="B34" s="588"/>
      <c r="C34" s="588"/>
      <c r="D34" s="588"/>
      <c r="E34" s="589"/>
      <c r="F34" s="589"/>
      <c r="G34" s="588"/>
      <c r="H34" s="589"/>
      <c r="I34" s="588"/>
      <c r="J34" s="589"/>
      <c r="K34" s="589" t="str">
        <f t="shared" si="0"/>
        <v/>
      </c>
      <c r="L34" s="588"/>
      <c r="M34" s="588"/>
      <c r="N34" s="588"/>
      <c r="O34" s="589"/>
      <c r="P34" s="589"/>
      <c r="Q34" s="589"/>
      <c r="R34" s="589" t="str">
        <f t="shared" si="1"/>
        <v/>
      </c>
    </row>
    <row r="35" spans="1:18">
      <c r="A35" s="588"/>
      <c r="B35" s="588"/>
      <c r="C35" s="588"/>
      <c r="D35" s="588"/>
      <c r="E35" s="589"/>
      <c r="F35" s="589"/>
      <c r="G35" s="588"/>
      <c r="H35" s="589"/>
      <c r="I35" s="588"/>
      <c r="J35" s="589"/>
      <c r="K35" s="589" t="str">
        <f t="shared" si="0"/>
        <v/>
      </c>
      <c r="L35" s="588"/>
      <c r="M35" s="588"/>
      <c r="N35" s="588"/>
      <c r="O35" s="589"/>
      <c r="P35" s="589"/>
      <c r="Q35" s="589"/>
      <c r="R35" s="589" t="str">
        <f t="shared" si="1"/>
        <v/>
      </c>
    </row>
    <row r="36" spans="1:18">
      <c r="A36" s="588"/>
      <c r="B36" s="588"/>
      <c r="C36" s="588"/>
      <c r="D36" s="588"/>
      <c r="E36" s="589"/>
      <c r="F36" s="589"/>
      <c r="G36" s="588"/>
      <c r="H36" s="589"/>
      <c r="I36" s="588"/>
      <c r="J36" s="589"/>
      <c r="K36" s="589" t="str">
        <f t="shared" si="0"/>
        <v/>
      </c>
      <c r="L36" s="588"/>
      <c r="M36" s="588"/>
      <c r="N36" s="588"/>
      <c r="O36" s="589"/>
      <c r="P36" s="589"/>
      <c r="Q36" s="589"/>
      <c r="R36" s="589" t="str">
        <f t="shared" si="1"/>
        <v/>
      </c>
    </row>
    <row r="37" spans="1:18">
      <c r="A37" s="588"/>
      <c r="B37" s="588"/>
      <c r="C37" s="588"/>
      <c r="D37" s="588"/>
      <c r="E37" s="589"/>
      <c r="F37" s="589"/>
      <c r="G37" s="588"/>
      <c r="H37" s="589"/>
      <c r="I37" s="588"/>
      <c r="J37" s="589"/>
      <c r="K37" s="589" t="str">
        <f t="shared" si="0"/>
        <v/>
      </c>
      <c r="L37" s="588"/>
      <c r="M37" s="588"/>
      <c r="N37" s="588"/>
      <c r="O37" s="589"/>
      <c r="P37" s="589"/>
      <c r="Q37" s="589"/>
      <c r="R37" s="589" t="str">
        <f t="shared" si="1"/>
        <v/>
      </c>
    </row>
    <row r="38" spans="1:18">
      <c r="A38" s="588"/>
      <c r="B38" s="588"/>
      <c r="C38" s="588"/>
      <c r="D38" s="588"/>
      <c r="E38" s="589"/>
      <c r="F38" s="589"/>
      <c r="G38" s="588"/>
      <c r="H38" s="589"/>
      <c r="I38" s="588"/>
      <c r="J38" s="589"/>
      <c r="K38" s="589" t="str">
        <f t="shared" si="0"/>
        <v/>
      </c>
      <c r="L38" s="588"/>
      <c r="M38" s="588"/>
      <c r="N38" s="588"/>
      <c r="O38" s="589"/>
      <c r="P38" s="589"/>
      <c r="Q38" s="589"/>
      <c r="R38" s="589" t="str">
        <f t="shared" si="1"/>
        <v/>
      </c>
    </row>
    <row r="39" spans="1:18">
      <c r="A39" s="588"/>
      <c r="B39" s="588"/>
      <c r="C39" s="588"/>
      <c r="D39" s="588"/>
      <c r="E39" s="589"/>
      <c r="F39" s="589"/>
      <c r="G39" s="588"/>
      <c r="H39" s="589"/>
      <c r="I39" s="588"/>
      <c r="J39" s="589"/>
      <c r="K39" s="589" t="str">
        <f t="shared" si="0"/>
        <v/>
      </c>
      <c r="L39" s="588"/>
      <c r="M39" s="588"/>
      <c r="N39" s="588"/>
      <c r="O39" s="589"/>
      <c r="P39" s="589"/>
      <c r="Q39" s="589"/>
      <c r="R39" s="589" t="str">
        <f t="shared" si="1"/>
        <v/>
      </c>
    </row>
    <row r="40" spans="1:18">
      <c r="A40" s="588"/>
      <c r="B40" s="588"/>
      <c r="C40" s="588"/>
      <c r="D40" s="588"/>
      <c r="E40" s="589"/>
      <c r="F40" s="589"/>
      <c r="G40" s="588"/>
      <c r="H40" s="589"/>
      <c r="I40" s="588"/>
      <c r="J40" s="589"/>
      <c r="K40" s="589" t="str">
        <f t="shared" si="0"/>
        <v/>
      </c>
      <c r="L40" s="588"/>
      <c r="M40" s="588"/>
      <c r="N40" s="588"/>
      <c r="O40" s="589"/>
      <c r="P40" s="589"/>
      <c r="Q40" s="589"/>
      <c r="R40" s="589" t="str">
        <f t="shared" si="1"/>
        <v/>
      </c>
    </row>
    <row r="41" spans="1:18">
      <c r="A41" s="588"/>
      <c r="B41" s="588"/>
      <c r="C41" s="588"/>
      <c r="D41" s="588"/>
      <c r="E41" s="589"/>
      <c r="F41" s="589"/>
      <c r="G41" s="588"/>
      <c r="H41" s="589"/>
      <c r="I41" s="588"/>
      <c r="J41" s="589"/>
      <c r="K41" s="589" t="str">
        <f t="shared" si="0"/>
        <v/>
      </c>
      <c r="L41" s="588"/>
      <c r="M41" s="588"/>
      <c r="N41" s="588"/>
      <c r="O41" s="589"/>
      <c r="P41" s="589"/>
      <c r="Q41" s="589"/>
      <c r="R41" s="589" t="str">
        <f t="shared" si="1"/>
        <v/>
      </c>
    </row>
    <row r="42" spans="1:18">
      <c r="A42" s="588"/>
      <c r="B42" s="588"/>
      <c r="C42" s="588"/>
      <c r="D42" s="588"/>
      <c r="E42" s="589"/>
      <c r="F42" s="589"/>
      <c r="G42" s="588"/>
      <c r="H42" s="589"/>
      <c r="I42" s="588"/>
      <c r="J42" s="589"/>
      <c r="K42" s="589" t="str">
        <f t="shared" si="0"/>
        <v/>
      </c>
      <c r="L42" s="588"/>
      <c r="M42" s="588"/>
      <c r="N42" s="588"/>
      <c r="O42" s="589"/>
      <c r="P42" s="589"/>
      <c r="Q42" s="589"/>
      <c r="R42" s="589" t="str">
        <f t="shared" si="1"/>
        <v/>
      </c>
    </row>
    <row r="43" spans="1:18">
      <c r="A43" s="588"/>
      <c r="B43" s="588"/>
      <c r="C43" s="588"/>
      <c r="D43" s="588"/>
      <c r="E43" s="589"/>
      <c r="F43" s="589"/>
      <c r="G43" s="588"/>
      <c r="H43" s="589"/>
      <c r="I43" s="588"/>
      <c r="J43" s="589"/>
      <c r="K43" s="589" t="str">
        <f t="shared" si="0"/>
        <v/>
      </c>
      <c r="L43" s="588"/>
      <c r="M43" s="588"/>
      <c r="N43" s="588"/>
      <c r="O43" s="589"/>
      <c r="P43" s="589"/>
      <c r="Q43" s="589"/>
      <c r="R43" s="589" t="str">
        <f t="shared" si="1"/>
        <v/>
      </c>
    </row>
    <row r="44" spans="1:18">
      <c r="A44" s="588"/>
      <c r="B44" s="588"/>
      <c r="C44" s="588"/>
      <c r="D44" s="588"/>
      <c r="E44" s="589"/>
      <c r="F44" s="589"/>
      <c r="G44" s="588"/>
      <c r="H44" s="589"/>
      <c r="I44" s="588"/>
      <c r="J44" s="589"/>
      <c r="K44" s="589" t="str">
        <f t="shared" si="0"/>
        <v/>
      </c>
      <c r="L44" s="588"/>
      <c r="M44" s="588"/>
      <c r="N44" s="588"/>
      <c r="O44" s="589"/>
      <c r="P44" s="589"/>
      <c r="Q44" s="589"/>
      <c r="R44" s="589" t="str">
        <f t="shared" si="1"/>
        <v/>
      </c>
    </row>
    <row r="45" spans="1:18">
      <c r="A45" s="588"/>
      <c r="B45" s="588"/>
      <c r="C45" s="588"/>
      <c r="D45" s="588"/>
      <c r="E45" s="589"/>
      <c r="F45" s="589"/>
      <c r="G45" s="588"/>
      <c r="H45" s="589"/>
      <c r="I45" s="588"/>
      <c r="J45" s="589"/>
      <c r="K45" s="589" t="str">
        <f t="shared" si="0"/>
        <v/>
      </c>
      <c r="L45" s="588"/>
      <c r="M45" s="588"/>
      <c r="N45" s="588"/>
      <c r="O45" s="589"/>
      <c r="P45" s="589"/>
      <c r="Q45" s="589"/>
      <c r="R45" s="589" t="str">
        <f t="shared" si="1"/>
        <v/>
      </c>
    </row>
    <row r="46" spans="1:18">
      <c r="A46" s="588"/>
      <c r="B46" s="588"/>
      <c r="C46" s="588"/>
      <c r="D46" s="588"/>
      <c r="E46" s="589"/>
      <c r="F46" s="589"/>
      <c r="G46" s="588"/>
      <c r="H46" s="589"/>
      <c r="I46" s="588"/>
      <c r="J46" s="589"/>
      <c r="K46" s="589" t="str">
        <f t="shared" si="0"/>
        <v/>
      </c>
      <c r="L46" s="588"/>
      <c r="M46" s="588"/>
      <c r="N46" s="588"/>
      <c r="O46" s="589"/>
      <c r="P46" s="589"/>
      <c r="Q46" s="589"/>
      <c r="R46" s="589" t="str">
        <f t="shared" si="1"/>
        <v/>
      </c>
    </row>
    <row r="47" spans="1:18">
      <c r="A47" s="588"/>
      <c r="B47" s="588"/>
      <c r="C47" s="588"/>
      <c r="D47" s="588"/>
      <c r="E47" s="589"/>
      <c r="F47" s="589"/>
      <c r="G47" s="588"/>
      <c r="H47" s="589"/>
      <c r="I47" s="588"/>
      <c r="J47" s="589"/>
      <c r="K47" s="589" t="str">
        <f t="shared" si="0"/>
        <v/>
      </c>
      <c r="L47" s="588"/>
      <c r="M47" s="588"/>
      <c r="N47" s="588"/>
      <c r="O47" s="589"/>
      <c r="P47" s="589"/>
      <c r="Q47" s="589"/>
      <c r="R47" s="589" t="str">
        <f t="shared" si="1"/>
        <v/>
      </c>
    </row>
    <row r="48" spans="1:18">
      <c r="A48" s="588"/>
      <c r="B48" s="588"/>
      <c r="C48" s="588"/>
      <c r="D48" s="588"/>
      <c r="E48" s="589"/>
      <c r="F48" s="589"/>
      <c r="G48" s="588"/>
      <c r="H48" s="589"/>
      <c r="I48" s="588"/>
      <c r="J48" s="589"/>
      <c r="K48" s="589" t="str">
        <f t="shared" si="0"/>
        <v/>
      </c>
      <c r="L48" s="588"/>
      <c r="M48" s="588"/>
      <c r="N48" s="588"/>
      <c r="O48" s="589"/>
      <c r="P48" s="589"/>
      <c r="Q48" s="589"/>
      <c r="R48" s="589" t="str">
        <f t="shared" si="1"/>
        <v/>
      </c>
    </row>
    <row r="49" spans="1:18">
      <c r="A49" s="588"/>
      <c r="B49" s="588"/>
      <c r="C49" s="588"/>
      <c r="D49" s="588"/>
      <c r="E49" s="589"/>
      <c r="F49" s="589"/>
      <c r="G49" s="588"/>
      <c r="H49" s="589"/>
      <c r="I49" s="588"/>
      <c r="J49" s="589"/>
      <c r="K49" s="589" t="str">
        <f t="shared" si="0"/>
        <v/>
      </c>
      <c r="L49" s="588"/>
      <c r="M49" s="588"/>
      <c r="N49" s="588"/>
      <c r="O49" s="589"/>
      <c r="P49" s="589"/>
      <c r="Q49" s="589"/>
      <c r="R49" s="589" t="str">
        <f t="shared" si="1"/>
        <v/>
      </c>
    </row>
    <row r="50" spans="1:18">
      <c r="A50" s="588"/>
      <c r="B50" s="588"/>
      <c r="C50" s="588"/>
      <c r="D50" s="588"/>
      <c r="E50" s="589"/>
      <c r="F50" s="589"/>
      <c r="G50" s="588"/>
      <c r="H50" s="589"/>
      <c r="I50" s="588"/>
      <c r="J50" s="589"/>
      <c r="K50" s="589" t="str">
        <f t="shared" si="0"/>
        <v/>
      </c>
      <c r="L50" s="588"/>
      <c r="M50" s="588"/>
      <c r="N50" s="588"/>
      <c r="O50" s="589"/>
      <c r="P50" s="589"/>
      <c r="Q50" s="589"/>
      <c r="R50" s="589" t="str">
        <f t="shared" si="1"/>
        <v/>
      </c>
    </row>
    <row r="51" spans="1:18">
      <c r="A51" s="588"/>
      <c r="B51" s="588"/>
      <c r="C51" s="588"/>
      <c r="D51" s="588"/>
      <c r="E51" s="589"/>
      <c r="F51" s="589"/>
      <c r="G51" s="588"/>
      <c r="H51" s="589"/>
      <c r="I51" s="588"/>
      <c r="J51" s="589"/>
      <c r="K51" s="589" t="str">
        <f t="shared" si="0"/>
        <v/>
      </c>
      <c r="L51" s="588"/>
      <c r="M51" s="588"/>
      <c r="N51" s="588"/>
      <c r="O51" s="589"/>
      <c r="P51" s="589"/>
      <c r="Q51" s="589"/>
      <c r="R51" s="589" t="str">
        <f t="shared" si="1"/>
        <v/>
      </c>
    </row>
    <row r="52" spans="1:18">
      <c r="A52" s="588"/>
      <c r="B52" s="588"/>
      <c r="C52" s="588"/>
      <c r="D52" s="588"/>
      <c r="E52" s="589"/>
      <c r="F52" s="589"/>
      <c r="G52" s="588"/>
      <c r="H52" s="589"/>
      <c r="I52" s="588"/>
      <c r="J52" s="589"/>
      <c r="K52" s="589" t="str">
        <f t="shared" si="0"/>
        <v/>
      </c>
      <c r="L52" s="588"/>
      <c r="M52" s="588"/>
      <c r="N52" s="588"/>
      <c r="O52" s="589"/>
      <c r="P52" s="589"/>
      <c r="Q52" s="589"/>
      <c r="R52" s="589" t="str">
        <f t="shared" si="1"/>
        <v/>
      </c>
    </row>
    <row r="53" spans="1:18">
      <c r="A53" s="588"/>
      <c r="B53" s="588"/>
      <c r="C53" s="588"/>
      <c r="D53" s="588"/>
      <c r="E53" s="589"/>
      <c r="F53" s="589"/>
      <c r="G53" s="588"/>
      <c r="H53" s="589"/>
      <c r="I53" s="588"/>
      <c r="J53" s="589"/>
      <c r="K53" s="589" t="str">
        <f t="shared" si="0"/>
        <v/>
      </c>
      <c r="L53" s="588"/>
      <c r="M53" s="588"/>
      <c r="N53" s="588"/>
      <c r="O53" s="589"/>
      <c r="P53" s="589"/>
      <c r="Q53" s="589"/>
      <c r="R53" s="589" t="str">
        <f t="shared" si="1"/>
        <v/>
      </c>
    </row>
  </sheetData>
  <mergeCells count="18">
    <mergeCell ref="A11:B11"/>
    <mergeCell ref="A15:A19"/>
    <mergeCell ref="A1:R4"/>
    <mergeCell ref="G15:G19"/>
    <mergeCell ref="N13:Q13"/>
    <mergeCell ref="D9:E9"/>
    <mergeCell ref="H9:K9"/>
    <mergeCell ref="N7:Q7"/>
    <mergeCell ref="N9:Q9"/>
    <mergeCell ref="N11:Q11"/>
    <mergeCell ref="N15:R16"/>
    <mergeCell ref="N17:N19"/>
    <mergeCell ref="L15:L19"/>
    <mergeCell ref="M15:M19"/>
    <mergeCell ref="C11:E11"/>
    <mergeCell ref="B15:B19"/>
    <mergeCell ref="D15:D19"/>
    <mergeCell ref="C15:C19"/>
  </mergeCells>
  <phoneticPr fontId="26" type="noConversion"/>
  <printOptions horizontalCentered="1" verticalCentered="1"/>
  <pageMargins left="0.25" right="0.25" top="0.41" bottom="0.8125" header="0.17" footer="0.16"/>
  <pageSetup scale="81" fitToHeight="27" orientation="landscape" r:id="rId1"/>
  <headerFooter alignWithMargins="0">
    <oddFooter xml:space="preserve">&amp;L&amp;6&amp;Z&amp;F&amp;CQAI_6012 AAR Mobility PPAP Workbook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0426" r:id="rId4" name="Button 10">
              <controlPr defaultSize="0" print="0" autoFill="0" autoPict="0" macro="[0]!Severity">
                <anchor moveWithCells="1" sizeWithCells="1">
                  <from>
                    <xdr:col>6</xdr:col>
                    <xdr:colOff>152400</xdr:colOff>
                    <xdr:row>10</xdr:row>
                    <xdr:rowOff>9525</xdr:rowOff>
                  </from>
                  <to>
                    <xdr:col>6</xdr:col>
                    <xdr:colOff>1228725</xdr:colOff>
                    <xdr:row>12</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11"/>
    <pageSetUpPr fitToPage="1"/>
  </sheetPr>
  <dimension ref="A1:M58"/>
  <sheetViews>
    <sheetView zoomScaleNormal="100" workbookViewId="0">
      <selection activeCell="O21" sqref="O21"/>
    </sheetView>
  </sheetViews>
  <sheetFormatPr defaultColWidth="9.140625" defaultRowHeight="12.75"/>
  <cols>
    <col min="1" max="1" width="1.28515625" style="1" customWidth="1"/>
    <col min="2" max="6" width="5.5703125" style="1" customWidth="1"/>
    <col min="7" max="8" width="9.140625" style="1"/>
    <col min="9" max="9" width="11.7109375" style="1" customWidth="1"/>
    <col min="10" max="12" width="9.140625" style="1"/>
    <col min="13" max="13" width="1.28515625" style="1" customWidth="1"/>
    <col min="14" max="16384" width="9.140625" style="1"/>
  </cols>
  <sheetData>
    <row r="1" spans="1:13" ht="40.5" customHeight="1">
      <c r="A1" s="885" t="s">
        <v>2</v>
      </c>
      <c r="B1" s="706"/>
      <c r="C1" s="706"/>
      <c r="D1" s="706"/>
      <c r="E1" s="706"/>
      <c r="F1" s="922" t="s">
        <v>871</v>
      </c>
      <c r="G1" s="923"/>
      <c r="H1" s="923"/>
      <c r="I1" s="923"/>
      <c r="J1" s="923"/>
      <c r="K1" s="923"/>
      <c r="L1" s="923"/>
      <c r="M1" s="924"/>
    </row>
    <row r="2" spans="1:13">
      <c r="A2" s="929"/>
      <c r="B2" s="930"/>
      <c r="C2" s="930"/>
      <c r="D2" s="930"/>
      <c r="E2" s="930"/>
      <c r="F2" s="925"/>
      <c r="G2" s="925"/>
      <c r="H2" s="925"/>
      <c r="I2" s="925"/>
      <c r="J2" s="925"/>
      <c r="K2" s="925"/>
      <c r="L2" s="925"/>
      <c r="M2" s="926"/>
    </row>
    <row r="3" spans="1:13">
      <c r="A3" s="929"/>
      <c r="B3" s="930"/>
      <c r="C3" s="930"/>
      <c r="D3" s="930"/>
      <c r="E3" s="930"/>
      <c r="F3" s="925"/>
      <c r="G3" s="925"/>
      <c r="H3" s="925"/>
      <c r="I3" s="925"/>
      <c r="J3" s="925"/>
      <c r="K3" s="925"/>
      <c r="L3" s="925"/>
      <c r="M3" s="926"/>
    </row>
    <row r="4" spans="1:13">
      <c r="A4" s="929"/>
      <c r="B4" s="930"/>
      <c r="C4" s="930"/>
      <c r="D4" s="930"/>
      <c r="E4" s="930"/>
      <c r="F4" s="925"/>
      <c r="G4" s="925"/>
      <c r="H4" s="925"/>
      <c r="I4" s="925"/>
      <c r="J4" s="925"/>
      <c r="K4" s="925"/>
      <c r="L4" s="925"/>
      <c r="M4" s="926"/>
    </row>
    <row r="5" spans="1:13" ht="7.5" customHeight="1" thickBot="1">
      <c r="A5" s="931"/>
      <c r="B5" s="932"/>
      <c r="C5" s="932"/>
      <c r="D5" s="932"/>
      <c r="E5" s="932"/>
      <c r="F5" s="927"/>
      <c r="G5" s="927"/>
      <c r="H5" s="927"/>
      <c r="I5" s="927"/>
      <c r="J5" s="927"/>
      <c r="K5" s="927"/>
      <c r="L5" s="927"/>
      <c r="M5" s="928"/>
    </row>
    <row r="6" spans="1:13">
      <c r="A6" s="109"/>
      <c r="B6" s="4"/>
      <c r="C6" s="4"/>
      <c r="D6" s="4"/>
      <c r="E6" s="4"/>
      <c r="F6" s="4"/>
      <c r="G6" s="4"/>
      <c r="H6" s="4"/>
      <c r="I6" s="4"/>
      <c r="J6" s="4"/>
      <c r="K6" s="4"/>
      <c r="L6" s="4"/>
      <c r="M6" s="110"/>
    </row>
    <row r="7" spans="1:13" ht="17.25" customHeight="1">
      <c r="A7" s="109"/>
      <c r="B7" s="4" t="s">
        <v>263</v>
      </c>
      <c r="C7" s="4"/>
      <c r="D7" s="4"/>
      <c r="E7" s="934" t="str">
        <f>INTRO!D33</f>
        <v>MODEL / VEHICLE</v>
      </c>
      <c r="F7" s="934"/>
      <c r="G7" s="934"/>
      <c r="H7" s="934"/>
      <c r="I7" s="4" t="s">
        <v>264</v>
      </c>
      <c r="J7" s="111"/>
      <c r="K7" s="5" t="s">
        <v>265</v>
      </c>
      <c r="L7" s="551" t="str">
        <f>INTRO!D31</f>
        <v>ECN</v>
      </c>
      <c r="M7" s="110"/>
    </row>
    <row r="8" spans="1:13" ht="17.25" customHeight="1">
      <c r="A8" s="109"/>
      <c r="B8" s="4" t="s">
        <v>144</v>
      </c>
      <c r="C8" s="4"/>
      <c r="D8" s="4"/>
      <c r="E8" s="935" t="str">
        <f>INTRO!D36</f>
        <v>SUPPLIER COMPANY</v>
      </c>
      <c r="F8" s="935"/>
      <c r="G8" s="935"/>
      <c r="H8" s="935"/>
      <c r="I8" s="4" t="s">
        <v>93</v>
      </c>
      <c r="J8" s="934" t="str">
        <f>INTRO!D28</f>
        <v>NAME</v>
      </c>
      <c r="K8" s="934"/>
      <c r="L8" s="934"/>
      <c r="M8" s="110"/>
    </row>
    <row r="9" spans="1:13" ht="17.25" customHeight="1">
      <c r="A9" s="109"/>
      <c r="B9" s="4" t="s">
        <v>266</v>
      </c>
      <c r="C9" s="4"/>
      <c r="D9" s="4"/>
      <c r="E9" s="933" t="str">
        <f>INTRO!D38</f>
        <v>ADDRESS</v>
      </c>
      <c r="F9" s="933"/>
      <c r="G9" s="933"/>
      <c r="H9" s="933"/>
      <c r="I9" s="4" t="s">
        <v>95</v>
      </c>
      <c r="J9" s="933" t="str">
        <f>INTRO!D29</f>
        <v>P-NUMBER</v>
      </c>
      <c r="K9" s="933"/>
      <c r="L9" s="933"/>
      <c r="M9" s="110"/>
    </row>
    <row r="10" spans="1:13">
      <c r="A10" s="112"/>
      <c r="B10" s="113"/>
      <c r="C10" s="113"/>
      <c r="D10" s="113"/>
      <c r="E10" s="113"/>
      <c r="F10" s="113"/>
      <c r="G10" s="113"/>
      <c r="H10" s="113"/>
      <c r="I10" s="113"/>
      <c r="J10" s="113"/>
      <c r="K10" s="113"/>
      <c r="L10" s="113"/>
      <c r="M10" s="114"/>
    </row>
    <row r="11" spans="1:13" ht="7.5" customHeight="1">
      <c r="A11" s="115"/>
      <c r="B11" s="116"/>
      <c r="C11" s="116"/>
      <c r="D11" s="116"/>
      <c r="E11" s="116"/>
      <c r="F11" s="116"/>
      <c r="G11" s="116"/>
      <c r="H11" s="116"/>
      <c r="I11" s="116"/>
      <c r="J11" s="116"/>
      <c r="K11" s="116"/>
      <c r="L11" s="116"/>
      <c r="M11" s="117"/>
    </row>
    <row r="12" spans="1:13">
      <c r="A12" s="109"/>
      <c r="B12" s="4" t="s">
        <v>267</v>
      </c>
      <c r="C12" s="4"/>
      <c r="D12" s="4"/>
      <c r="E12" s="4"/>
      <c r="F12" s="4"/>
      <c r="G12" s="4"/>
      <c r="H12" s="4"/>
      <c r="I12" s="4"/>
      <c r="J12" s="4"/>
      <c r="K12" s="4"/>
      <c r="L12" s="4"/>
      <c r="M12" s="110"/>
    </row>
    <row r="13" spans="1:13" ht="6.75" customHeight="1">
      <c r="A13" s="109"/>
      <c r="B13" s="4"/>
      <c r="C13" s="4"/>
      <c r="D13" s="4"/>
      <c r="E13" s="4"/>
      <c r="F13" s="4"/>
      <c r="G13" s="4"/>
      <c r="H13" s="4"/>
      <c r="I13" s="4"/>
      <c r="J13" s="4"/>
      <c r="K13" s="4"/>
      <c r="L13" s="4"/>
      <c r="M13" s="110"/>
    </row>
    <row r="14" spans="1:13">
      <c r="A14" s="109"/>
      <c r="B14" s="4" t="s">
        <v>268</v>
      </c>
      <c r="C14" s="4"/>
      <c r="D14" s="4"/>
      <c r="E14" s="4" t="s">
        <v>269</v>
      </c>
      <c r="F14" s="4"/>
      <c r="G14" s="4"/>
      <c r="H14" s="4" t="s">
        <v>270</v>
      </c>
      <c r="I14" s="4"/>
      <c r="J14" s="4" t="s">
        <v>271</v>
      </c>
      <c r="K14" s="4"/>
      <c r="L14" s="4" t="s">
        <v>272</v>
      </c>
      <c r="M14" s="110"/>
    </row>
    <row r="15" spans="1:13" ht="6.75" customHeight="1">
      <c r="A15" s="112"/>
      <c r="B15" s="113"/>
      <c r="C15" s="113"/>
      <c r="D15" s="113"/>
      <c r="E15" s="113"/>
      <c r="F15" s="113"/>
      <c r="G15" s="113"/>
      <c r="H15" s="113"/>
      <c r="I15" s="113"/>
      <c r="J15" s="113"/>
      <c r="K15" s="113"/>
      <c r="L15" s="113"/>
      <c r="M15" s="114"/>
    </row>
    <row r="16" spans="1:13" ht="6.75" customHeight="1">
      <c r="A16" s="115"/>
      <c r="B16" s="116"/>
      <c r="C16" s="116"/>
      <c r="D16" s="116"/>
      <c r="E16" s="116"/>
      <c r="F16" s="116"/>
      <c r="G16" s="115"/>
      <c r="H16" s="116"/>
      <c r="I16" s="117"/>
      <c r="J16" s="116"/>
      <c r="K16" s="116"/>
      <c r="L16" s="116"/>
      <c r="M16" s="117"/>
    </row>
    <row r="17" spans="1:13">
      <c r="A17" s="109"/>
      <c r="B17" s="4"/>
      <c r="C17" s="4"/>
      <c r="D17" s="5" t="s">
        <v>273</v>
      </c>
      <c r="E17" s="118"/>
      <c r="F17" s="4"/>
      <c r="G17" s="109"/>
      <c r="H17" s="5" t="s">
        <v>274</v>
      </c>
      <c r="I17" s="110"/>
      <c r="J17" s="4"/>
      <c r="K17" s="5" t="s">
        <v>275</v>
      </c>
      <c r="L17" s="4"/>
      <c r="M17" s="110"/>
    </row>
    <row r="18" spans="1:13" ht="15">
      <c r="A18" s="109"/>
      <c r="B18" s="4"/>
      <c r="C18" s="4"/>
      <c r="D18" s="4"/>
      <c r="E18" s="119"/>
      <c r="F18" s="4"/>
      <c r="G18" s="109"/>
      <c r="H18" s="5" t="s">
        <v>273</v>
      </c>
      <c r="I18" s="110"/>
      <c r="J18" s="4"/>
      <c r="K18" s="5" t="s">
        <v>276</v>
      </c>
      <c r="L18" s="4"/>
      <c r="M18" s="110"/>
    </row>
    <row r="19" spans="1:13" ht="6" customHeight="1">
      <c r="A19" s="112"/>
      <c r="B19" s="113"/>
      <c r="C19" s="113"/>
      <c r="D19" s="113"/>
      <c r="E19" s="113"/>
      <c r="F19" s="113"/>
      <c r="G19" s="112"/>
      <c r="H19" s="113"/>
      <c r="I19" s="114"/>
      <c r="J19" s="113"/>
      <c r="K19" s="113"/>
      <c r="L19" s="113"/>
      <c r="M19" s="114"/>
    </row>
    <row r="20" spans="1:13">
      <c r="A20" s="109"/>
      <c r="B20" s="31"/>
      <c r="C20" s="31"/>
      <c r="D20" s="31"/>
      <c r="E20" s="31"/>
      <c r="F20" s="31"/>
      <c r="G20" s="120"/>
      <c r="H20" s="121"/>
      <c r="I20" s="122"/>
      <c r="J20" s="121"/>
      <c r="K20" s="121"/>
      <c r="L20" s="121"/>
      <c r="M20" s="117"/>
    </row>
    <row r="21" spans="1:13">
      <c r="A21" s="109"/>
      <c r="B21" s="4" t="s">
        <v>268</v>
      </c>
      <c r="C21" s="31"/>
      <c r="D21" s="31"/>
      <c r="E21" s="31"/>
      <c r="F21" s="31"/>
      <c r="G21" s="123"/>
      <c r="H21" s="31"/>
      <c r="I21" s="124"/>
      <c r="J21" s="31"/>
      <c r="K21" s="31"/>
      <c r="L21" s="31"/>
      <c r="M21" s="110"/>
    </row>
    <row r="22" spans="1:13">
      <c r="A22" s="109"/>
      <c r="B22" s="31"/>
      <c r="C22" s="31"/>
      <c r="D22" s="31"/>
      <c r="E22" s="31"/>
      <c r="F22" s="31"/>
      <c r="G22" s="123"/>
      <c r="H22" s="31"/>
      <c r="I22" s="124"/>
      <c r="J22" s="31"/>
      <c r="K22" s="31"/>
      <c r="L22" s="31"/>
      <c r="M22" s="110"/>
    </row>
    <row r="23" spans="1:13">
      <c r="A23" s="109"/>
      <c r="B23" s="4" t="s">
        <v>270</v>
      </c>
      <c r="C23" s="31"/>
      <c r="D23" s="31"/>
      <c r="E23" s="31"/>
      <c r="F23" s="31"/>
      <c r="G23" s="918"/>
      <c r="H23" s="919"/>
      <c r="I23" s="920"/>
      <c r="J23" s="31"/>
      <c r="K23" s="31"/>
      <c r="L23" s="31"/>
      <c r="M23" s="110"/>
    </row>
    <row r="24" spans="1:13">
      <c r="A24" s="109"/>
      <c r="B24" s="31"/>
      <c r="C24" s="31"/>
      <c r="D24" s="31"/>
      <c r="E24" s="31"/>
      <c r="F24" s="31"/>
      <c r="G24" s="123"/>
      <c r="H24" s="31"/>
      <c r="I24" s="124"/>
      <c r="J24" s="31"/>
      <c r="K24" s="31"/>
      <c r="L24" s="31"/>
      <c r="M24" s="110"/>
    </row>
    <row r="25" spans="1:13">
      <c r="A25" s="109"/>
      <c r="B25" s="4" t="s">
        <v>269</v>
      </c>
      <c r="C25" s="31"/>
      <c r="D25" s="31"/>
      <c r="E25" s="31"/>
      <c r="F25" s="31"/>
      <c r="G25" s="123"/>
      <c r="H25" s="31"/>
      <c r="I25" s="124"/>
      <c r="J25" s="31"/>
      <c r="K25" s="31"/>
      <c r="L25" s="31"/>
      <c r="M25" s="110"/>
    </row>
    <row r="26" spans="1:13">
      <c r="A26" s="109"/>
      <c r="B26" s="31"/>
      <c r="C26" s="31"/>
      <c r="D26" s="31"/>
      <c r="E26" s="31"/>
      <c r="F26" s="31"/>
      <c r="G26" s="123"/>
      <c r="H26" s="31"/>
      <c r="I26" s="124"/>
      <c r="J26" s="31"/>
      <c r="K26" s="31"/>
      <c r="L26" s="31"/>
      <c r="M26" s="110"/>
    </row>
    <row r="27" spans="1:13">
      <c r="A27" s="109"/>
      <c r="B27" s="4"/>
      <c r="C27" s="4" t="s">
        <v>272</v>
      </c>
      <c r="D27" s="31"/>
      <c r="E27" s="31"/>
      <c r="F27" s="31"/>
      <c r="G27" s="123"/>
      <c r="H27" s="31"/>
      <c r="I27" s="124"/>
      <c r="J27" s="31"/>
      <c r="K27" s="31"/>
      <c r="L27" s="31"/>
      <c r="M27" s="110"/>
    </row>
    <row r="28" spans="1:13">
      <c r="A28" s="109"/>
      <c r="B28" s="31"/>
      <c r="C28" s="31"/>
      <c r="D28" s="31"/>
      <c r="E28" s="31"/>
      <c r="F28" s="31"/>
      <c r="G28" s="123"/>
      <c r="H28" s="31"/>
      <c r="I28" s="124"/>
      <c r="J28" s="31"/>
      <c r="K28" s="31"/>
      <c r="L28" s="31"/>
      <c r="M28" s="110"/>
    </row>
    <row r="29" spans="1:13">
      <c r="A29" s="109"/>
      <c r="B29" s="4" t="s">
        <v>269</v>
      </c>
      <c r="C29" s="31"/>
      <c r="D29" s="31"/>
      <c r="E29" s="31"/>
      <c r="F29" s="31"/>
      <c r="G29" s="125"/>
      <c r="H29" s="126"/>
      <c r="I29" s="127"/>
      <c r="J29" s="31"/>
      <c r="K29" s="31"/>
      <c r="L29" s="31"/>
      <c r="M29" s="110"/>
    </row>
    <row r="30" spans="1:13">
      <c r="A30" s="109"/>
      <c r="B30" s="31"/>
      <c r="C30" s="31"/>
      <c r="D30" s="31"/>
      <c r="E30" s="31"/>
      <c r="F30" s="31"/>
      <c r="G30" s="123"/>
      <c r="H30" s="31"/>
      <c r="I30" s="124"/>
      <c r="J30" s="31"/>
      <c r="K30" s="31"/>
      <c r="L30" s="31"/>
      <c r="M30" s="110"/>
    </row>
    <row r="31" spans="1:13">
      <c r="A31" s="109"/>
      <c r="B31" s="4" t="s">
        <v>268</v>
      </c>
      <c r="C31" s="31"/>
      <c r="D31" s="31"/>
      <c r="E31" s="31"/>
      <c r="F31" s="31"/>
      <c r="G31" s="123"/>
      <c r="H31" s="31"/>
      <c r="I31" s="124"/>
      <c r="J31" s="31"/>
      <c r="K31" s="31"/>
      <c r="L31" s="31"/>
      <c r="M31" s="110"/>
    </row>
    <row r="32" spans="1:13">
      <c r="A32" s="109"/>
      <c r="B32" s="31"/>
      <c r="C32" s="31"/>
      <c r="D32" s="31"/>
      <c r="E32" s="31"/>
      <c r="F32" s="31"/>
      <c r="G32" s="123"/>
      <c r="H32" s="31"/>
      <c r="I32" s="124"/>
      <c r="J32" s="31"/>
      <c r="K32" s="31"/>
      <c r="L32" s="31"/>
      <c r="M32" s="110"/>
    </row>
    <row r="33" spans="1:13">
      <c r="A33" s="109"/>
      <c r="B33" s="4" t="s">
        <v>268</v>
      </c>
      <c r="C33" s="31"/>
      <c r="D33" s="31"/>
      <c r="E33" s="31"/>
      <c r="F33" s="31"/>
      <c r="G33" s="123"/>
      <c r="H33" s="31"/>
      <c r="I33" s="124"/>
      <c r="J33" s="31"/>
      <c r="K33" s="31"/>
      <c r="L33" s="31"/>
      <c r="M33" s="110"/>
    </row>
    <row r="34" spans="1:13">
      <c r="A34" s="109"/>
      <c r="B34" s="31"/>
      <c r="C34" s="31"/>
      <c r="D34" s="31"/>
      <c r="E34" s="31"/>
      <c r="F34" s="31"/>
      <c r="G34" s="123"/>
      <c r="H34" s="31"/>
      <c r="I34" s="124"/>
      <c r="J34" s="31"/>
      <c r="K34" s="31"/>
      <c r="L34" s="31"/>
      <c r="M34" s="110"/>
    </row>
    <row r="35" spans="1:13">
      <c r="A35" s="109"/>
      <c r="B35" s="4" t="s">
        <v>270</v>
      </c>
      <c r="C35" s="31"/>
      <c r="D35" s="31"/>
      <c r="E35" s="31"/>
      <c r="F35" s="31"/>
      <c r="G35" s="123"/>
      <c r="H35" s="31"/>
      <c r="I35" s="124"/>
      <c r="J35" s="31"/>
      <c r="K35" s="31"/>
      <c r="L35" s="31"/>
      <c r="M35" s="110"/>
    </row>
    <row r="36" spans="1:13">
      <c r="A36" s="109"/>
      <c r="B36" s="4"/>
      <c r="C36" s="31"/>
      <c r="D36" s="31"/>
      <c r="E36" s="31"/>
      <c r="F36" s="31"/>
      <c r="G36" s="123"/>
      <c r="H36" s="31"/>
      <c r="I36" s="124"/>
      <c r="J36" s="31"/>
      <c r="K36" s="31"/>
      <c r="L36" s="31"/>
      <c r="M36" s="110"/>
    </row>
    <row r="37" spans="1:13">
      <c r="A37" s="109"/>
      <c r="B37" s="4" t="s">
        <v>268</v>
      </c>
      <c r="C37" s="31"/>
      <c r="D37" s="31"/>
      <c r="E37" s="31"/>
      <c r="F37" s="31"/>
      <c r="G37" s="123"/>
      <c r="H37" s="31"/>
      <c r="I37" s="124"/>
      <c r="J37" s="31"/>
      <c r="K37" s="31"/>
      <c r="L37" s="31"/>
      <c r="M37" s="110"/>
    </row>
    <row r="38" spans="1:13">
      <c r="A38" s="109"/>
      <c r="B38" s="4"/>
      <c r="C38" s="31"/>
      <c r="D38" s="31"/>
      <c r="E38" s="31"/>
      <c r="F38" s="31"/>
      <c r="G38" s="123"/>
      <c r="H38" s="31"/>
      <c r="I38" s="124"/>
      <c r="J38" s="31"/>
      <c r="K38" s="31"/>
      <c r="L38" s="31"/>
      <c r="M38" s="110"/>
    </row>
    <row r="39" spans="1:13">
      <c r="A39" s="109"/>
      <c r="B39" s="4" t="s">
        <v>268</v>
      </c>
      <c r="C39" s="31"/>
      <c r="D39" s="31"/>
      <c r="E39" s="31"/>
      <c r="F39" s="31"/>
      <c r="G39" s="123"/>
      <c r="H39" s="31"/>
      <c r="I39" s="124"/>
      <c r="J39" s="31"/>
      <c r="K39" s="31"/>
      <c r="L39" s="31"/>
      <c r="M39" s="110"/>
    </row>
    <row r="40" spans="1:13">
      <c r="A40" s="109"/>
      <c r="B40" s="4"/>
      <c r="C40" s="31"/>
      <c r="D40" s="31"/>
      <c r="E40" s="31"/>
      <c r="F40" s="31"/>
      <c r="G40" s="123"/>
      <c r="H40" s="31"/>
      <c r="I40" s="124"/>
      <c r="J40" s="31"/>
      <c r="K40" s="31"/>
      <c r="L40" s="31"/>
      <c r="M40" s="110"/>
    </row>
    <row r="41" spans="1:13">
      <c r="A41" s="109"/>
      <c r="B41" s="4" t="s">
        <v>268</v>
      </c>
      <c r="C41" s="31"/>
      <c r="D41" s="31"/>
      <c r="E41" s="31"/>
      <c r="F41" s="31"/>
      <c r="G41" s="123"/>
      <c r="H41" s="31"/>
      <c r="I41" s="124"/>
      <c r="J41" s="31"/>
      <c r="K41" s="31"/>
      <c r="L41" s="31"/>
      <c r="M41" s="110"/>
    </row>
    <row r="42" spans="1:13">
      <c r="A42" s="109"/>
      <c r="B42" s="4"/>
      <c r="C42" s="31"/>
      <c r="D42" s="31"/>
      <c r="E42" s="31"/>
      <c r="F42" s="31"/>
      <c r="G42" s="123"/>
      <c r="H42" s="31"/>
      <c r="I42" s="124"/>
      <c r="J42" s="31"/>
      <c r="K42" s="31"/>
      <c r="L42" s="31"/>
      <c r="M42" s="110"/>
    </row>
    <row r="43" spans="1:13">
      <c r="A43" s="109"/>
      <c r="B43" s="4" t="s">
        <v>270</v>
      </c>
      <c r="C43" s="31"/>
      <c r="D43" s="31"/>
      <c r="E43" s="31"/>
      <c r="F43" s="31"/>
      <c r="G43" s="123"/>
      <c r="H43" s="31"/>
      <c r="I43" s="124"/>
      <c r="J43" s="31"/>
      <c r="K43" s="31"/>
      <c r="L43" s="31"/>
      <c r="M43" s="110"/>
    </row>
    <row r="44" spans="1:13">
      <c r="A44" s="109"/>
      <c r="B44" s="4"/>
      <c r="C44" s="31"/>
      <c r="D44" s="31"/>
      <c r="E44" s="31"/>
      <c r="F44" s="31"/>
      <c r="G44" s="123"/>
      <c r="H44" s="31"/>
      <c r="I44" s="124"/>
      <c r="J44" s="31"/>
      <c r="K44" s="31"/>
      <c r="L44" s="31"/>
      <c r="M44" s="110"/>
    </row>
    <row r="45" spans="1:13">
      <c r="A45" s="109"/>
      <c r="B45" s="4" t="s">
        <v>270</v>
      </c>
      <c r="C45" s="31"/>
      <c r="D45" s="31"/>
      <c r="E45" s="31"/>
      <c r="F45" s="31"/>
      <c r="G45" s="123"/>
      <c r="H45" s="31"/>
      <c r="I45" s="124"/>
      <c r="J45" s="31"/>
      <c r="K45" s="31"/>
      <c r="L45" s="31"/>
      <c r="M45" s="110"/>
    </row>
    <row r="46" spans="1:13">
      <c r="A46" s="109"/>
      <c r="B46" s="4"/>
      <c r="C46" s="31"/>
      <c r="D46" s="31"/>
      <c r="E46" s="31"/>
      <c r="F46" s="31"/>
      <c r="G46" s="123"/>
      <c r="H46" s="31"/>
      <c r="I46" s="124"/>
      <c r="J46" s="31"/>
      <c r="K46" s="31"/>
      <c r="L46" s="31"/>
      <c r="M46" s="110"/>
    </row>
    <row r="47" spans="1:13">
      <c r="A47" s="109"/>
      <c r="B47" s="4" t="s">
        <v>268</v>
      </c>
      <c r="C47" s="31"/>
      <c r="D47" s="31"/>
      <c r="E47" s="31"/>
      <c r="F47" s="31"/>
      <c r="G47" s="123"/>
      <c r="H47" s="31"/>
      <c r="I47" s="124"/>
      <c r="J47" s="31"/>
      <c r="K47" s="31"/>
      <c r="L47" s="31"/>
      <c r="M47" s="110"/>
    </row>
    <row r="48" spans="1:13">
      <c r="A48" s="109"/>
      <c r="B48" s="4"/>
      <c r="C48" s="31"/>
      <c r="D48" s="31"/>
      <c r="E48" s="31"/>
      <c r="F48" s="31"/>
      <c r="G48" s="123"/>
      <c r="H48" s="31"/>
      <c r="I48" s="124"/>
      <c r="J48" s="31"/>
      <c r="K48" s="31"/>
      <c r="L48" s="31"/>
      <c r="M48" s="110"/>
    </row>
    <row r="49" spans="1:13">
      <c r="A49" s="109"/>
      <c r="B49" s="4" t="s">
        <v>270</v>
      </c>
      <c r="C49" s="31"/>
      <c r="D49" s="31"/>
      <c r="E49" s="31"/>
      <c r="F49" s="31"/>
      <c r="G49" s="123"/>
      <c r="H49" s="31"/>
      <c r="I49" s="124"/>
      <c r="J49" s="31"/>
      <c r="K49" s="31"/>
      <c r="L49" s="31"/>
      <c r="M49" s="110"/>
    </row>
    <row r="50" spans="1:13">
      <c r="A50" s="109"/>
      <c r="B50" s="31"/>
      <c r="C50" s="31"/>
      <c r="D50" s="31"/>
      <c r="E50" s="31"/>
      <c r="F50" s="31"/>
      <c r="G50" s="123"/>
      <c r="H50" s="31"/>
      <c r="I50" s="124"/>
      <c r="J50" s="31"/>
      <c r="K50" s="31"/>
      <c r="L50" s="31"/>
      <c r="M50" s="110"/>
    </row>
    <row r="51" spans="1:13">
      <c r="A51" s="109"/>
      <c r="B51" s="4" t="s">
        <v>270</v>
      </c>
      <c r="C51" s="31"/>
      <c r="D51" s="31"/>
      <c r="E51" s="31"/>
      <c r="F51" s="31"/>
      <c r="G51" s="123"/>
      <c r="H51" s="31"/>
      <c r="I51" s="124"/>
      <c r="J51" s="31"/>
      <c r="K51" s="31"/>
      <c r="L51" s="31"/>
      <c r="M51" s="110"/>
    </row>
    <row r="52" spans="1:13">
      <c r="A52" s="109"/>
      <c r="B52" s="31"/>
      <c r="C52" s="31"/>
      <c r="D52" s="31"/>
      <c r="E52" s="31"/>
      <c r="F52" s="31"/>
      <c r="G52" s="123"/>
      <c r="H52" s="31"/>
      <c r="I52" s="124"/>
      <c r="J52" s="31"/>
      <c r="K52" s="31"/>
      <c r="L52" s="31"/>
      <c r="M52" s="110"/>
    </row>
    <row r="53" spans="1:13">
      <c r="A53" s="109"/>
      <c r="B53" s="4" t="s">
        <v>268</v>
      </c>
      <c r="C53" s="31"/>
      <c r="D53" s="31"/>
      <c r="E53" s="31"/>
      <c r="F53" s="31"/>
      <c r="G53" s="123"/>
      <c r="H53" s="31"/>
      <c r="I53" s="124"/>
      <c r="J53" s="31"/>
      <c r="K53" s="31"/>
      <c r="L53" s="31"/>
      <c r="M53" s="110"/>
    </row>
    <row r="54" spans="1:13">
      <c r="A54" s="112"/>
      <c r="B54" s="128"/>
      <c r="C54" s="128"/>
      <c r="D54" s="128"/>
      <c r="E54" s="128"/>
      <c r="F54" s="128"/>
      <c r="G54" s="129"/>
      <c r="H54" s="128"/>
      <c r="I54" s="130"/>
      <c r="J54" s="128"/>
      <c r="K54" s="128"/>
      <c r="L54" s="128"/>
      <c r="M54" s="114"/>
    </row>
    <row r="55" spans="1:13">
      <c r="A55" s="4"/>
      <c r="B55" s="31"/>
      <c r="C55" s="31"/>
      <c r="D55" s="31"/>
      <c r="E55" s="31"/>
      <c r="F55" s="31"/>
      <c r="G55" s="31"/>
      <c r="H55" s="31"/>
      <c r="I55" s="31"/>
      <c r="J55" s="31"/>
      <c r="K55" s="31"/>
      <c r="L55" s="31"/>
      <c r="M55" s="4"/>
    </row>
    <row r="56" spans="1:13">
      <c r="D56" s="131" t="s">
        <v>277</v>
      </c>
    </row>
    <row r="57" spans="1:13">
      <c r="B57" s="921" t="s">
        <v>21</v>
      </c>
      <c r="C57" s="921"/>
      <c r="D57" s="921" t="s">
        <v>278</v>
      </c>
      <c r="E57" s="921"/>
      <c r="F57" s="921"/>
      <c r="G57" s="921"/>
      <c r="H57" s="921"/>
      <c r="I57" s="921"/>
      <c r="J57" s="921"/>
      <c r="K57" s="921"/>
      <c r="L57" s="921"/>
    </row>
    <row r="58" spans="1:13">
      <c r="B58" s="916"/>
      <c r="C58" s="916"/>
      <c r="D58" s="917"/>
      <c r="E58" s="917"/>
      <c r="F58" s="917"/>
      <c r="G58" s="917"/>
      <c r="H58" s="917"/>
      <c r="I58" s="917"/>
      <c r="J58" s="917"/>
      <c r="K58" s="917"/>
      <c r="L58" s="917"/>
    </row>
  </sheetData>
  <mergeCells count="12">
    <mergeCell ref="F1:M5"/>
    <mergeCell ref="A1:E5"/>
    <mergeCell ref="E9:H9"/>
    <mergeCell ref="E7:H7"/>
    <mergeCell ref="E8:H8"/>
    <mergeCell ref="J8:L8"/>
    <mergeCell ref="J9:L9"/>
    <mergeCell ref="B58:C58"/>
    <mergeCell ref="D58:L58"/>
    <mergeCell ref="G23:I23"/>
    <mergeCell ref="B57:C57"/>
    <mergeCell ref="D57:L57"/>
  </mergeCells>
  <phoneticPr fontId="26" type="noConversion"/>
  <printOptions horizontalCentered="1" verticalCentered="1"/>
  <pageMargins left="0.25" right="0.25" top="0.41" bottom="0.8125" header="0.17" footer="0.16"/>
  <pageSetup fitToHeight="27" orientation="portrait" r:id="rId1"/>
  <headerFooter alignWithMargins="0">
    <oddFooter xml:space="preserve">&amp;L&amp;6&amp;Z&amp;F&amp;CQAI_6012 AAR Mobility PPAP Workbook
</oddFoot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indexed="11"/>
    <pageSetUpPr fitToPage="1"/>
  </sheetPr>
  <dimension ref="A1:R68"/>
  <sheetViews>
    <sheetView zoomScaleNormal="100" workbookViewId="0">
      <pane ySplit="21" topLeftCell="A22" activePane="bottomLeft" state="frozen"/>
      <selection activeCell="O21" sqref="O21"/>
      <selection pane="bottomLeft" activeCell="O21" sqref="O21"/>
    </sheetView>
  </sheetViews>
  <sheetFormatPr defaultColWidth="9.140625" defaultRowHeight="12.75"/>
  <cols>
    <col min="1" max="1" width="12.42578125" style="13" customWidth="1"/>
    <col min="2" max="2" width="15.140625" style="13" customWidth="1"/>
    <col min="3" max="3" width="17" style="1" customWidth="1"/>
    <col min="4" max="4" width="18.28515625" style="1" customWidth="1"/>
    <col min="5" max="5" width="3.140625" style="6" customWidth="1"/>
    <col min="6" max="6" width="4" style="6" customWidth="1"/>
    <col min="7" max="7" width="19.7109375" style="1" customWidth="1"/>
    <col min="8" max="8" width="3.28515625" style="6" customWidth="1"/>
    <col min="9" max="9" width="19.7109375" style="1" customWidth="1"/>
    <col min="10" max="10" width="3.28515625" style="6" customWidth="1"/>
    <col min="11" max="11" width="4.140625" style="153" customWidth="1"/>
    <col min="12" max="12" width="12.42578125" style="1" customWidth="1"/>
    <col min="13" max="13" width="10.5703125" style="1" customWidth="1"/>
    <col min="14" max="14" width="12.42578125" style="1" customWidth="1"/>
    <col min="15" max="17" width="3.42578125" style="6" customWidth="1"/>
    <col min="18" max="18" width="3.85546875" style="6" customWidth="1"/>
    <col min="19" max="16384" width="9.140625" style="1"/>
  </cols>
  <sheetData>
    <row r="1" spans="1:18">
      <c r="A1" s="885" t="s">
        <v>295</v>
      </c>
      <c r="B1" s="706"/>
      <c r="C1" s="707"/>
      <c r="D1" s="707"/>
      <c r="E1" s="707"/>
      <c r="F1" s="707"/>
      <c r="G1" s="707"/>
      <c r="H1" s="707"/>
      <c r="I1" s="707"/>
      <c r="J1" s="707"/>
      <c r="K1" s="707"/>
      <c r="L1" s="707"/>
      <c r="M1" s="707"/>
      <c r="N1" s="707"/>
      <c r="O1" s="707"/>
      <c r="P1" s="707"/>
      <c r="Q1" s="707"/>
      <c r="R1" s="708"/>
    </row>
    <row r="2" spans="1:18">
      <c r="A2" s="900"/>
      <c r="B2" s="709"/>
      <c r="C2" s="709"/>
      <c r="D2" s="709"/>
      <c r="E2" s="709"/>
      <c r="F2" s="709"/>
      <c r="G2" s="709"/>
      <c r="H2" s="709"/>
      <c r="I2" s="709"/>
      <c r="J2" s="709"/>
      <c r="K2" s="709"/>
      <c r="L2" s="709"/>
      <c r="M2" s="709"/>
      <c r="N2" s="709"/>
      <c r="O2" s="709"/>
      <c r="P2" s="709"/>
      <c r="Q2" s="709"/>
      <c r="R2" s="710"/>
    </row>
    <row r="3" spans="1:18">
      <c r="A3" s="900"/>
      <c r="B3" s="709"/>
      <c r="C3" s="709"/>
      <c r="D3" s="709"/>
      <c r="E3" s="709"/>
      <c r="F3" s="709"/>
      <c r="G3" s="709"/>
      <c r="H3" s="709"/>
      <c r="I3" s="709"/>
      <c r="J3" s="709"/>
      <c r="K3" s="709"/>
      <c r="L3" s="709"/>
      <c r="M3" s="709"/>
      <c r="N3" s="709"/>
      <c r="O3" s="709"/>
      <c r="P3" s="709"/>
      <c r="Q3" s="709"/>
      <c r="R3" s="710"/>
    </row>
    <row r="4" spans="1:18">
      <c r="A4" s="900"/>
      <c r="B4" s="709"/>
      <c r="C4" s="709"/>
      <c r="D4" s="709"/>
      <c r="E4" s="709"/>
      <c r="F4" s="709"/>
      <c r="G4" s="709"/>
      <c r="H4" s="709"/>
      <c r="I4" s="709"/>
      <c r="J4" s="709"/>
      <c r="K4" s="709"/>
      <c r="L4" s="709"/>
      <c r="M4" s="709"/>
      <c r="N4" s="709"/>
      <c r="O4" s="709"/>
      <c r="P4" s="709"/>
      <c r="Q4" s="709"/>
      <c r="R4" s="710"/>
    </row>
    <row r="5" spans="1:18">
      <c r="A5" s="900"/>
      <c r="B5" s="709"/>
      <c r="C5" s="709"/>
      <c r="D5" s="709"/>
      <c r="E5" s="709"/>
      <c r="F5" s="709"/>
      <c r="G5" s="709"/>
      <c r="H5" s="709"/>
      <c r="I5" s="709"/>
      <c r="J5" s="709"/>
      <c r="K5" s="709"/>
      <c r="L5" s="709"/>
      <c r="M5" s="709"/>
      <c r="N5" s="709"/>
      <c r="O5" s="709"/>
      <c r="P5" s="709"/>
      <c r="Q5" s="709"/>
      <c r="R5" s="710"/>
    </row>
    <row r="6" spans="1:18" ht="13.5" thickBot="1">
      <c r="A6" s="901"/>
      <c r="B6" s="711"/>
      <c r="C6" s="711"/>
      <c r="D6" s="711"/>
      <c r="E6" s="711"/>
      <c r="F6" s="711"/>
      <c r="G6" s="711"/>
      <c r="H6" s="711"/>
      <c r="I6" s="711"/>
      <c r="J6" s="711"/>
      <c r="K6" s="711"/>
      <c r="L6" s="711"/>
      <c r="M6" s="711"/>
      <c r="N6" s="711"/>
      <c r="O6" s="711"/>
      <c r="P6" s="711"/>
      <c r="Q6" s="711"/>
      <c r="R6" s="712"/>
    </row>
    <row r="7" spans="1:18">
      <c r="H7" s="30"/>
      <c r="O7" s="1"/>
    </row>
    <row r="8" spans="1:18">
      <c r="H8" s="132"/>
      <c r="O8" s="1"/>
    </row>
    <row r="9" spans="1:18">
      <c r="A9" s="13" t="s">
        <v>24</v>
      </c>
      <c r="B9" s="552" t="str">
        <f>INTRO!D29</f>
        <v>P-NUMBER</v>
      </c>
      <c r="C9" s="11" t="s">
        <v>25</v>
      </c>
      <c r="D9" s="552" t="str">
        <f>INTRO!D30</f>
        <v>REV #</v>
      </c>
      <c r="E9" s="133"/>
      <c r="H9" s="132"/>
      <c r="M9" s="11" t="s">
        <v>26</v>
      </c>
      <c r="N9" s="906"/>
      <c r="O9" s="906"/>
      <c r="P9" s="906"/>
      <c r="Q9" s="906"/>
    </row>
    <row r="10" spans="1:18" ht="6.75" customHeight="1">
      <c r="B10" s="1"/>
      <c r="D10" s="6"/>
      <c r="O10" s="1"/>
    </row>
    <row r="11" spans="1:18">
      <c r="A11" s="13" t="s">
        <v>49</v>
      </c>
      <c r="B11" s="133" t="s">
        <v>642</v>
      </c>
      <c r="C11" s="133"/>
      <c r="D11" s="133"/>
      <c r="G11" s="1" t="s">
        <v>50</v>
      </c>
      <c r="H11" s="906"/>
      <c r="I11" s="906"/>
      <c r="J11" s="906"/>
      <c r="K11" s="906"/>
      <c r="M11" s="11" t="s">
        <v>27</v>
      </c>
      <c r="N11" s="883"/>
      <c r="O11" s="883"/>
      <c r="P11" s="883"/>
      <c r="Q11" s="883"/>
    </row>
    <row r="12" spans="1:18" ht="6.75" customHeight="1">
      <c r="O12" s="1"/>
    </row>
    <row r="13" spans="1:18">
      <c r="A13" s="914" t="s">
        <v>8</v>
      </c>
      <c r="B13" s="915"/>
      <c r="C13" s="552" t="str">
        <f>INTRO!D33</f>
        <v>MODEL / VEHICLE</v>
      </c>
      <c r="D13" s="133"/>
      <c r="G13" s="11" t="s">
        <v>742</v>
      </c>
      <c r="H13" s="883"/>
      <c r="I13" s="883"/>
      <c r="J13" s="883"/>
      <c r="K13" s="883"/>
      <c r="M13" s="1" t="s">
        <v>28</v>
      </c>
      <c r="N13" s="938"/>
      <c r="O13" s="883"/>
      <c r="P13" s="883"/>
      <c r="Q13" s="883"/>
    </row>
    <row r="14" spans="1:18" ht="6.75" customHeight="1">
      <c r="O14" s="1"/>
    </row>
    <row r="15" spans="1:18">
      <c r="A15" s="485" t="s">
        <v>284</v>
      </c>
      <c r="B15" s="179"/>
      <c r="C15" s="133"/>
      <c r="D15" s="133"/>
      <c r="M15" s="1" t="s">
        <v>29</v>
      </c>
      <c r="N15" s="938"/>
      <c r="O15" s="883"/>
      <c r="P15" s="883"/>
      <c r="Q15" s="883"/>
    </row>
    <row r="16" spans="1:18" ht="8.25" customHeight="1"/>
    <row r="17" spans="1:18" ht="9.75" customHeight="1">
      <c r="A17" s="902" t="s">
        <v>735</v>
      </c>
      <c r="B17" s="902" t="s">
        <v>736</v>
      </c>
      <c r="C17" s="902" t="s">
        <v>286</v>
      </c>
      <c r="D17" s="902" t="s">
        <v>287</v>
      </c>
      <c r="E17" s="135"/>
      <c r="F17" s="136" t="s">
        <v>30</v>
      </c>
      <c r="G17" s="902" t="s">
        <v>288</v>
      </c>
      <c r="H17" s="137" t="s">
        <v>31</v>
      </c>
      <c r="I17" s="137" t="s">
        <v>36</v>
      </c>
      <c r="J17" s="137" t="s">
        <v>32</v>
      </c>
      <c r="K17" s="137"/>
      <c r="L17" s="902" t="s">
        <v>289</v>
      </c>
      <c r="M17" s="902" t="s">
        <v>290</v>
      </c>
      <c r="N17" s="907" t="s">
        <v>39</v>
      </c>
      <c r="O17" s="908"/>
      <c r="P17" s="908"/>
      <c r="Q17" s="908"/>
      <c r="R17" s="909"/>
    </row>
    <row r="18" spans="1:18" ht="9.75" customHeight="1">
      <c r="A18" s="903"/>
      <c r="B18" s="903"/>
      <c r="C18" s="903"/>
      <c r="D18" s="903"/>
      <c r="E18" s="138" t="s">
        <v>33</v>
      </c>
      <c r="F18" s="139" t="s">
        <v>34</v>
      </c>
      <c r="G18" s="903"/>
      <c r="H18" s="140" t="s">
        <v>35</v>
      </c>
      <c r="I18" s="140" t="s">
        <v>51</v>
      </c>
      <c r="J18" s="140" t="s">
        <v>37</v>
      </c>
      <c r="K18" s="140" t="s">
        <v>38</v>
      </c>
      <c r="L18" s="903"/>
      <c r="M18" s="903"/>
      <c r="N18" s="910"/>
      <c r="O18" s="911"/>
      <c r="P18" s="911"/>
      <c r="Q18" s="911"/>
      <c r="R18" s="912"/>
    </row>
    <row r="19" spans="1:18" ht="9.75" customHeight="1">
      <c r="A19" s="903"/>
      <c r="B19" s="903"/>
      <c r="C19" s="903"/>
      <c r="D19" s="903"/>
      <c r="E19" s="138" t="s">
        <v>37</v>
      </c>
      <c r="F19" s="139" t="s">
        <v>40</v>
      </c>
      <c r="G19" s="903"/>
      <c r="H19" s="140" t="s">
        <v>35</v>
      </c>
      <c r="I19" s="140" t="s">
        <v>46</v>
      </c>
      <c r="J19" s="140" t="s">
        <v>41</v>
      </c>
      <c r="K19" s="140" t="s">
        <v>42</v>
      </c>
      <c r="L19" s="903"/>
      <c r="M19" s="903"/>
      <c r="N19" s="902" t="s">
        <v>292</v>
      </c>
      <c r="O19" s="137" t="s">
        <v>33</v>
      </c>
      <c r="P19" s="137" t="s">
        <v>31</v>
      </c>
      <c r="Q19" s="137" t="s">
        <v>32</v>
      </c>
      <c r="R19" s="137" t="s">
        <v>38</v>
      </c>
    </row>
    <row r="20" spans="1:18" ht="9.75" customHeight="1">
      <c r="A20" s="903"/>
      <c r="B20" s="903"/>
      <c r="C20" s="903"/>
      <c r="D20" s="903"/>
      <c r="E20" s="138" t="s">
        <v>43</v>
      </c>
      <c r="F20" s="139" t="s">
        <v>44</v>
      </c>
      <c r="G20" s="903"/>
      <c r="H20" s="140" t="s">
        <v>45</v>
      </c>
      <c r="I20" s="140" t="s">
        <v>296</v>
      </c>
      <c r="J20" s="140" t="s">
        <v>37</v>
      </c>
      <c r="K20" s="140" t="s">
        <v>47</v>
      </c>
      <c r="L20" s="903"/>
      <c r="M20" s="903"/>
      <c r="N20" s="903"/>
      <c r="O20" s="140" t="s">
        <v>37</v>
      </c>
      <c r="P20" s="140" t="s">
        <v>35</v>
      </c>
      <c r="Q20" s="140" t="s">
        <v>37</v>
      </c>
      <c r="R20" s="140" t="s">
        <v>42</v>
      </c>
    </row>
    <row r="21" spans="1:18" ht="14.25" customHeight="1">
      <c r="A21" s="904"/>
      <c r="B21" s="904"/>
      <c r="C21" s="904"/>
      <c r="D21" s="904"/>
      <c r="E21" s="141"/>
      <c r="F21" s="142" t="s">
        <v>44</v>
      </c>
      <c r="G21" s="904"/>
      <c r="H21" s="143" t="s">
        <v>48</v>
      </c>
      <c r="I21" s="143" t="s">
        <v>297</v>
      </c>
      <c r="J21" s="143" t="s">
        <v>35</v>
      </c>
      <c r="K21" s="143"/>
      <c r="L21" s="904"/>
      <c r="M21" s="904"/>
      <c r="N21" s="904"/>
      <c r="O21" s="143" t="s">
        <v>43</v>
      </c>
      <c r="P21" s="143" t="s">
        <v>35</v>
      </c>
      <c r="Q21" s="143" t="s">
        <v>41</v>
      </c>
      <c r="R21" s="143" t="s">
        <v>47</v>
      </c>
    </row>
    <row r="22" spans="1:18">
      <c r="A22" s="588"/>
      <c r="B22" s="588"/>
      <c r="C22" s="588"/>
      <c r="D22" s="588"/>
      <c r="E22" s="589"/>
      <c r="F22" s="589"/>
      <c r="G22" s="588"/>
      <c r="H22" s="589"/>
      <c r="I22" s="588"/>
      <c r="J22" s="589"/>
      <c r="K22" s="590" t="str">
        <f t="shared" ref="K22:K42" si="0">IF(E22&lt;&gt;"",E22*H22*J22,"")</f>
        <v/>
      </c>
      <c r="L22" s="588"/>
      <c r="M22" s="588"/>
      <c r="N22" s="588"/>
      <c r="O22" s="589"/>
      <c r="P22" s="589"/>
      <c r="Q22" s="589"/>
      <c r="R22" s="591" t="str">
        <f t="shared" ref="R22:R42" si="1">IF(O22&lt;&gt;"",O22*P22*Q22,"")</f>
        <v/>
      </c>
    </row>
    <row r="23" spans="1:18">
      <c r="A23" s="588"/>
      <c r="B23" s="588"/>
      <c r="C23" s="588"/>
      <c r="D23" s="588"/>
      <c r="E23" s="589"/>
      <c r="F23" s="589"/>
      <c r="G23" s="588"/>
      <c r="H23" s="589"/>
      <c r="I23" s="588"/>
      <c r="J23" s="589"/>
      <c r="K23" s="590" t="str">
        <f t="shared" si="0"/>
        <v/>
      </c>
      <c r="L23" s="588"/>
      <c r="M23" s="588"/>
      <c r="N23" s="588"/>
      <c r="O23" s="589"/>
      <c r="P23" s="589"/>
      <c r="Q23" s="589"/>
      <c r="R23" s="591" t="str">
        <f t="shared" si="1"/>
        <v/>
      </c>
    </row>
    <row r="24" spans="1:18">
      <c r="A24" s="588"/>
      <c r="B24" s="588"/>
      <c r="C24" s="588"/>
      <c r="D24" s="588"/>
      <c r="E24" s="589"/>
      <c r="F24" s="589"/>
      <c r="G24" s="588"/>
      <c r="H24" s="589"/>
      <c r="I24" s="588"/>
      <c r="J24" s="589"/>
      <c r="K24" s="590" t="str">
        <f t="shared" si="0"/>
        <v/>
      </c>
      <c r="L24" s="588"/>
      <c r="M24" s="588"/>
      <c r="N24" s="588"/>
      <c r="O24" s="589"/>
      <c r="P24" s="589"/>
      <c r="Q24" s="589"/>
      <c r="R24" s="591" t="str">
        <f t="shared" si="1"/>
        <v/>
      </c>
    </row>
    <row r="25" spans="1:18">
      <c r="A25" s="588"/>
      <c r="B25" s="588"/>
      <c r="C25" s="588"/>
      <c r="D25" s="588"/>
      <c r="E25" s="589"/>
      <c r="F25" s="589"/>
      <c r="G25" s="588"/>
      <c r="H25" s="589"/>
      <c r="I25" s="588"/>
      <c r="J25" s="589"/>
      <c r="K25" s="590" t="str">
        <f t="shared" si="0"/>
        <v/>
      </c>
      <c r="L25" s="588"/>
      <c r="M25" s="588"/>
      <c r="N25" s="588"/>
      <c r="O25" s="589"/>
      <c r="P25" s="589"/>
      <c r="Q25" s="589"/>
      <c r="R25" s="591" t="str">
        <f t="shared" si="1"/>
        <v/>
      </c>
    </row>
    <row r="26" spans="1:18">
      <c r="A26" s="588"/>
      <c r="B26" s="588"/>
      <c r="C26" s="588"/>
      <c r="D26" s="588"/>
      <c r="E26" s="589"/>
      <c r="F26" s="589"/>
      <c r="G26" s="588"/>
      <c r="H26" s="589"/>
      <c r="I26" s="588"/>
      <c r="J26" s="589"/>
      <c r="K26" s="590" t="str">
        <f t="shared" si="0"/>
        <v/>
      </c>
      <c r="L26" s="588"/>
      <c r="M26" s="588"/>
      <c r="N26" s="588"/>
      <c r="O26" s="589"/>
      <c r="P26" s="589"/>
      <c r="Q26" s="589"/>
      <c r="R26" s="591" t="str">
        <f t="shared" si="1"/>
        <v/>
      </c>
    </row>
    <row r="27" spans="1:18">
      <c r="A27" s="588"/>
      <c r="B27" s="588"/>
      <c r="C27" s="588"/>
      <c r="D27" s="588"/>
      <c r="E27" s="589"/>
      <c r="F27" s="589"/>
      <c r="G27" s="588"/>
      <c r="H27" s="589"/>
      <c r="I27" s="588"/>
      <c r="J27" s="589"/>
      <c r="K27" s="590" t="str">
        <f t="shared" si="0"/>
        <v/>
      </c>
      <c r="L27" s="588"/>
      <c r="M27" s="588"/>
      <c r="N27" s="588"/>
      <c r="O27" s="589"/>
      <c r="P27" s="589"/>
      <c r="Q27" s="589"/>
      <c r="R27" s="591" t="str">
        <f t="shared" si="1"/>
        <v/>
      </c>
    </row>
    <row r="28" spans="1:18">
      <c r="A28" s="588"/>
      <c r="B28" s="588"/>
      <c r="C28" s="588"/>
      <c r="D28" s="588"/>
      <c r="E28" s="589"/>
      <c r="F28" s="589"/>
      <c r="G28" s="588"/>
      <c r="H28" s="589"/>
      <c r="I28" s="588"/>
      <c r="J28" s="589"/>
      <c r="K28" s="590" t="str">
        <f t="shared" si="0"/>
        <v/>
      </c>
      <c r="L28" s="588"/>
      <c r="M28" s="588"/>
      <c r="N28" s="588"/>
      <c r="O28" s="589"/>
      <c r="P28" s="589"/>
      <c r="Q28" s="589"/>
      <c r="R28" s="591" t="str">
        <f t="shared" si="1"/>
        <v/>
      </c>
    </row>
    <row r="29" spans="1:18">
      <c r="A29" s="588"/>
      <c r="B29" s="588"/>
      <c r="C29" s="588"/>
      <c r="D29" s="588"/>
      <c r="E29" s="589"/>
      <c r="F29" s="589"/>
      <c r="G29" s="588"/>
      <c r="H29" s="589"/>
      <c r="I29" s="588"/>
      <c r="J29" s="589"/>
      <c r="K29" s="590" t="str">
        <f t="shared" si="0"/>
        <v/>
      </c>
      <c r="L29" s="588"/>
      <c r="M29" s="588"/>
      <c r="N29" s="588"/>
      <c r="O29" s="589"/>
      <c r="P29" s="589"/>
      <c r="Q29" s="589"/>
      <c r="R29" s="591" t="str">
        <f t="shared" si="1"/>
        <v/>
      </c>
    </row>
    <row r="30" spans="1:18">
      <c r="A30" s="588"/>
      <c r="B30" s="588"/>
      <c r="C30" s="588"/>
      <c r="D30" s="588"/>
      <c r="E30" s="589"/>
      <c r="F30" s="589"/>
      <c r="G30" s="588"/>
      <c r="H30" s="589"/>
      <c r="I30" s="588"/>
      <c r="J30" s="589"/>
      <c r="K30" s="590" t="str">
        <f t="shared" si="0"/>
        <v/>
      </c>
      <c r="L30" s="588"/>
      <c r="M30" s="588"/>
      <c r="N30" s="588"/>
      <c r="O30" s="589"/>
      <c r="P30" s="589"/>
      <c r="Q30" s="589"/>
      <c r="R30" s="591" t="str">
        <f t="shared" si="1"/>
        <v/>
      </c>
    </row>
    <row r="31" spans="1:18">
      <c r="A31" s="588"/>
      <c r="B31" s="588"/>
      <c r="C31" s="588"/>
      <c r="D31" s="588"/>
      <c r="E31" s="589"/>
      <c r="F31" s="589"/>
      <c r="G31" s="588"/>
      <c r="H31" s="589"/>
      <c r="I31" s="588"/>
      <c r="J31" s="589"/>
      <c r="K31" s="590" t="str">
        <f t="shared" si="0"/>
        <v/>
      </c>
      <c r="L31" s="588"/>
      <c r="M31" s="588"/>
      <c r="N31" s="588"/>
      <c r="O31" s="589"/>
      <c r="P31" s="589"/>
      <c r="Q31" s="589"/>
      <c r="R31" s="591" t="str">
        <f t="shared" si="1"/>
        <v/>
      </c>
    </row>
    <row r="32" spans="1:18">
      <c r="A32" s="588"/>
      <c r="B32" s="588"/>
      <c r="C32" s="588"/>
      <c r="D32" s="588"/>
      <c r="E32" s="589"/>
      <c r="F32" s="589"/>
      <c r="G32" s="588"/>
      <c r="H32" s="589"/>
      <c r="I32" s="588"/>
      <c r="J32" s="589"/>
      <c r="K32" s="590" t="str">
        <f t="shared" si="0"/>
        <v/>
      </c>
      <c r="L32" s="588"/>
      <c r="M32" s="588"/>
      <c r="N32" s="588"/>
      <c r="O32" s="589"/>
      <c r="P32" s="589"/>
      <c r="Q32" s="589"/>
      <c r="R32" s="591" t="str">
        <f t="shared" si="1"/>
        <v/>
      </c>
    </row>
    <row r="33" spans="1:18">
      <c r="A33" s="588"/>
      <c r="B33" s="588"/>
      <c r="C33" s="588"/>
      <c r="D33" s="588"/>
      <c r="E33" s="589"/>
      <c r="F33" s="589"/>
      <c r="G33" s="588"/>
      <c r="H33" s="589"/>
      <c r="I33" s="588"/>
      <c r="J33" s="589"/>
      <c r="K33" s="590" t="str">
        <f t="shared" si="0"/>
        <v/>
      </c>
      <c r="L33" s="588"/>
      <c r="M33" s="588"/>
      <c r="N33" s="588"/>
      <c r="O33" s="589"/>
      <c r="P33" s="589"/>
      <c r="Q33" s="589"/>
      <c r="R33" s="591" t="str">
        <f t="shared" si="1"/>
        <v/>
      </c>
    </row>
    <row r="34" spans="1:18">
      <c r="A34" s="588"/>
      <c r="B34" s="588"/>
      <c r="C34" s="588"/>
      <c r="D34" s="588"/>
      <c r="E34" s="589"/>
      <c r="F34" s="589"/>
      <c r="G34" s="588"/>
      <c r="H34" s="589"/>
      <c r="I34" s="588"/>
      <c r="J34" s="589"/>
      <c r="K34" s="590" t="str">
        <f t="shared" si="0"/>
        <v/>
      </c>
      <c r="L34" s="588"/>
      <c r="M34" s="588"/>
      <c r="N34" s="588"/>
      <c r="O34" s="589"/>
      <c r="P34" s="589"/>
      <c r="Q34" s="589"/>
      <c r="R34" s="591" t="str">
        <f t="shared" si="1"/>
        <v/>
      </c>
    </row>
    <row r="35" spans="1:18">
      <c r="A35" s="588"/>
      <c r="B35" s="588"/>
      <c r="C35" s="588"/>
      <c r="D35" s="588"/>
      <c r="E35" s="589"/>
      <c r="F35" s="589"/>
      <c r="G35" s="588"/>
      <c r="H35" s="589"/>
      <c r="I35" s="588"/>
      <c r="J35" s="589"/>
      <c r="K35" s="590" t="str">
        <f t="shared" si="0"/>
        <v/>
      </c>
      <c r="L35" s="588"/>
      <c r="M35" s="588"/>
      <c r="N35" s="588"/>
      <c r="O35" s="589"/>
      <c r="P35" s="589"/>
      <c r="Q35" s="589"/>
      <c r="R35" s="591" t="str">
        <f t="shared" si="1"/>
        <v/>
      </c>
    </row>
    <row r="36" spans="1:18">
      <c r="A36" s="588"/>
      <c r="B36" s="588"/>
      <c r="C36" s="588"/>
      <c r="D36" s="588"/>
      <c r="E36" s="589"/>
      <c r="F36" s="589"/>
      <c r="G36" s="588"/>
      <c r="H36" s="589"/>
      <c r="I36" s="588"/>
      <c r="J36" s="589"/>
      <c r="K36" s="590" t="str">
        <f t="shared" si="0"/>
        <v/>
      </c>
      <c r="L36" s="588"/>
      <c r="M36" s="588"/>
      <c r="N36" s="588"/>
      <c r="O36" s="589"/>
      <c r="P36" s="589"/>
      <c r="Q36" s="589"/>
      <c r="R36" s="591" t="str">
        <f t="shared" si="1"/>
        <v/>
      </c>
    </row>
    <row r="37" spans="1:18">
      <c r="A37" s="588"/>
      <c r="B37" s="588"/>
      <c r="C37" s="588"/>
      <c r="D37" s="588"/>
      <c r="E37" s="589"/>
      <c r="F37" s="589"/>
      <c r="G37" s="588"/>
      <c r="H37" s="589"/>
      <c r="I37" s="588"/>
      <c r="J37" s="589"/>
      <c r="K37" s="590" t="str">
        <f t="shared" si="0"/>
        <v/>
      </c>
      <c r="L37" s="588"/>
      <c r="M37" s="588"/>
      <c r="N37" s="588"/>
      <c r="O37" s="589"/>
      <c r="P37" s="589"/>
      <c r="Q37" s="589"/>
      <c r="R37" s="591" t="str">
        <f t="shared" si="1"/>
        <v/>
      </c>
    </row>
    <row r="38" spans="1:18">
      <c r="A38" s="588"/>
      <c r="B38" s="588"/>
      <c r="C38" s="588"/>
      <c r="D38" s="588"/>
      <c r="E38" s="589"/>
      <c r="F38" s="589"/>
      <c r="G38" s="588"/>
      <c r="H38" s="589"/>
      <c r="I38" s="588"/>
      <c r="J38" s="589"/>
      <c r="K38" s="590" t="str">
        <f t="shared" si="0"/>
        <v/>
      </c>
      <c r="L38" s="588"/>
      <c r="M38" s="588"/>
      <c r="N38" s="588"/>
      <c r="O38" s="589"/>
      <c r="P38" s="589"/>
      <c r="Q38" s="589"/>
      <c r="R38" s="591" t="str">
        <f t="shared" si="1"/>
        <v/>
      </c>
    </row>
    <row r="39" spans="1:18">
      <c r="A39" s="588"/>
      <c r="B39" s="588"/>
      <c r="C39" s="588"/>
      <c r="D39" s="588"/>
      <c r="E39" s="589"/>
      <c r="F39" s="589"/>
      <c r="G39" s="588"/>
      <c r="H39" s="589"/>
      <c r="I39" s="588"/>
      <c r="J39" s="589"/>
      <c r="K39" s="590" t="str">
        <f t="shared" si="0"/>
        <v/>
      </c>
      <c r="L39" s="588"/>
      <c r="M39" s="588"/>
      <c r="N39" s="588"/>
      <c r="O39" s="589"/>
      <c r="P39" s="589"/>
      <c r="Q39" s="589"/>
      <c r="R39" s="591" t="str">
        <f t="shared" si="1"/>
        <v/>
      </c>
    </row>
    <row r="40" spans="1:18">
      <c r="A40" s="588"/>
      <c r="B40" s="588"/>
      <c r="C40" s="588"/>
      <c r="D40" s="588"/>
      <c r="E40" s="589"/>
      <c r="F40" s="589"/>
      <c r="G40" s="588"/>
      <c r="H40" s="589"/>
      <c r="I40" s="588"/>
      <c r="J40" s="589"/>
      <c r="K40" s="590" t="str">
        <f t="shared" si="0"/>
        <v/>
      </c>
      <c r="L40" s="588"/>
      <c r="M40" s="588"/>
      <c r="N40" s="588"/>
      <c r="O40" s="589"/>
      <c r="P40" s="589"/>
      <c r="Q40" s="589"/>
      <c r="R40" s="591" t="str">
        <f t="shared" si="1"/>
        <v/>
      </c>
    </row>
    <row r="41" spans="1:18">
      <c r="A41" s="588"/>
      <c r="B41" s="588"/>
      <c r="C41" s="588"/>
      <c r="D41" s="588"/>
      <c r="E41" s="589"/>
      <c r="F41" s="589"/>
      <c r="G41" s="588"/>
      <c r="H41" s="589"/>
      <c r="I41" s="588"/>
      <c r="J41" s="589"/>
      <c r="K41" s="590" t="str">
        <f t="shared" si="0"/>
        <v/>
      </c>
      <c r="L41" s="588"/>
      <c r="M41" s="588"/>
      <c r="N41" s="588"/>
      <c r="O41" s="589"/>
      <c r="P41" s="589"/>
      <c r="Q41" s="589"/>
      <c r="R41" s="591" t="str">
        <f t="shared" si="1"/>
        <v/>
      </c>
    </row>
    <row r="42" spans="1:18">
      <c r="A42" s="588"/>
      <c r="B42" s="588"/>
      <c r="C42" s="588"/>
      <c r="D42" s="588"/>
      <c r="E42" s="589"/>
      <c r="F42" s="589"/>
      <c r="G42" s="588"/>
      <c r="H42" s="589"/>
      <c r="I42" s="588"/>
      <c r="J42" s="589"/>
      <c r="K42" s="590" t="str">
        <f t="shared" si="0"/>
        <v/>
      </c>
      <c r="L42" s="588"/>
      <c r="M42" s="588"/>
      <c r="N42" s="588"/>
      <c r="O42" s="589"/>
      <c r="P42" s="589"/>
      <c r="Q42" s="589"/>
      <c r="R42" s="591" t="str">
        <f t="shared" si="1"/>
        <v/>
      </c>
    </row>
    <row r="43" spans="1:18">
      <c r="A43" s="588"/>
      <c r="B43" s="588"/>
      <c r="C43" s="588"/>
      <c r="D43" s="588"/>
      <c r="E43" s="589"/>
      <c r="F43" s="589"/>
      <c r="G43" s="588"/>
      <c r="H43" s="589"/>
      <c r="I43" s="588"/>
      <c r="J43" s="589"/>
      <c r="K43" s="590" t="str">
        <f t="shared" ref="K43:K56" si="2">IF(E43&lt;&gt;"",E43*H43*J43,"")</f>
        <v/>
      </c>
      <c r="L43" s="588"/>
      <c r="M43" s="588"/>
      <c r="N43" s="588"/>
      <c r="O43" s="589"/>
      <c r="P43" s="589"/>
      <c r="Q43" s="589"/>
      <c r="R43" s="591" t="str">
        <f t="shared" ref="R43:R56" si="3">IF(O43&lt;&gt;"",O43*P43*Q43,"")</f>
        <v/>
      </c>
    </row>
    <row r="44" spans="1:18">
      <c r="A44" s="588"/>
      <c r="B44" s="588"/>
      <c r="C44" s="588"/>
      <c r="D44" s="588"/>
      <c r="E44" s="589"/>
      <c r="F44" s="589"/>
      <c r="G44" s="588"/>
      <c r="H44" s="589"/>
      <c r="I44" s="588"/>
      <c r="J44" s="589"/>
      <c r="K44" s="590" t="str">
        <f t="shared" si="2"/>
        <v/>
      </c>
      <c r="L44" s="588"/>
      <c r="M44" s="588"/>
      <c r="N44" s="588"/>
      <c r="O44" s="589"/>
      <c r="P44" s="589"/>
      <c r="Q44" s="589"/>
      <c r="R44" s="591" t="str">
        <f t="shared" si="3"/>
        <v/>
      </c>
    </row>
    <row r="45" spans="1:18">
      <c r="A45" s="588"/>
      <c r="B45" s="588"/>
      <c r="C45" s="588"/>
      <c r="D45" s="588"/>
      <c r="E45" s="589"/>
      <c r="F45" s="589"/>
      <c r="G45" s="588"/>
      <c r="H45" s="589"/>
      <c r="I45" s="588"/>
      <c r="J45" s="589"/>
      <c r="K45" s="590" t="str">
        <f t="shared" si="2"/>
        <v/>
      </c>
      <c r="L45" s="588"/>
      <c r="M45" s="588"/>
      <c r="N45" s="588"/>
      <c r="O45" s="589"/>
      <c r="P45" s="589"/>
      <c r="Q45" s="589"/>
      <c r="R45" s="591" t="str">
        <f t="shared" si="3"/>
        <v/>
      </c>
    </row>
    <row r="46" spans="1:18">
      <c r="A46" s="588"/>
      <c r="B46" s="588"/>
      <c r="C46" s="588"/>
      <c r="D46" s="588"/>
      <c r="E46" s="589"/>
      <c r="F46" s="589"/>
      <c r="G46" s="588"/>
      <c r="H46" s="589"/>
      <c r="I46" s="588"/>
      <c r="J46" s="589"/>
      <c r="K46" s="590" t="str">
        <f t="shared" si="2"/>
        <v/>
      </c>
      <c r="L46" s="588"/>
      <c r="M46" s="588"/>
      <c r="N46" s="588"/>
      <c r="O46" s="589"/>
      <c r="P46" s="589"/>
      <c r="Q46" s="589"/>
      <c r="R46" s="591" t="str">
        <f t="shared" si="3"/>
        <v/>
      </c>
    </row>
    <row r="47" spans="1:18">
      <c r="A47" s="588"/>
      <c r="B47" s="588"/>
      <c r="C47" s="588"/>
      <c r="D47" s="588"/>
      <c r="E47" s="589"/>
      <c r="F47" s="589"/>
      <c r="G47" s="588"/>
      <c r="H47" s="589"/>
      <c r="I47" s="588"/>
      <c r="J47" s="589"/>
      <c r="K47" s="590" t="str">
        <f t="shared" si="2"/>
        <v/>
      </c>
      <c r="L47" s="588"/>
      <c r="M47" s="588"/>
      <c r="N47" s="588"/>
      <c r="O47" s="589"/>
      <c r="P47" s="589"/>
      <c r="Q47" s="589"/>
      <c r="R47" s="591" t="str">
        <f t="shared" si="3"/>
        <v/>
      </c>
    </row>
    <row r="48" spans="1:18">
      <c r="A48" s="592"/>
      <c r="B48" s="592"/>
      <c r="C48" s="592"/>
      <c r="D48" s="592"/>
      <c r="E48" s="593"/>
      <c r="F48" s="594"/>
      <c r="G48" s="588"/>
      <c r="H48" s="589"/>
      <c r="I48" s="588"/>
      <c r="J48" s="589"/>
      <c r="K48" s="590" t="str">
        <f t="shared" si="2"/>
        <v/>
      </c>
      <c r="L48" s="595"/>
      <c r="M48" s="592"/>
      <c r="N48" s="592"/>
      <c r="O48" s="587"/>
      <c r="P48" s="587"/>
      <c r="Q48" s="587"/>
      <c r="R48" s="591" t="str">
        <f t="shared" si="3"/>
        <v/>
      </c>
    </row>
    <row r="49" spans="1:18">
      <c r="A49" s="595"/>
      <c r="B49" s="595"/>
      <c r="C49" s="595"/>
      <c r="D49" s="595"/>
      <c r="E49" s="593"/>
      <c r="F49" s="593"/>
      <c r="G49" s="588"/>
      <c r="H49" s="589"/>
      <c r="I49" s="588"/>
      <c r="J49" s="589"/>
      <c r="K49" s="590" t="str">
        <f t="shared" si="2"/>
        <v/>
      </c>
      <c r="L49" s="595"/>
      <c r="M49" s="595"/>
      <c r="N49" s="595"/>
      <c r="O49" s="210"/>
      <c r="P49" s="210"/>
      <c r="Q49" s="210"/>
      <c r="R49" s="591" t="str">
        <f t="shared" si="3"/>
        <v/>
      </c>
    </row>
    <row r="50" spans="1:18">
      <c r="A50" s="595"/>
      <c r="B50" s="595"/>
      <c r="C50" s="595"/>
      <c r="D50" s="595"/>
      <c r="E50" s="593"/>
      <c r="F50" s="593"/>
      <c r="G50" s="588"/>
      <c r="H50" s="589"/>
      <c r="I50" s="588"/>
      <c r="J50" s="589"/>
      <c r="K50" s="590" t="str">
        <f t="shared" si="2"/>
        <v/>
      </c>
      <c r="L50" s="595"/>
      <c r="M50" s="595"/>
      <c r="N50" s="595"/>
      <c r="O50" s="210"/>
      <c r="P50" s="210"/>
      <c r="Q50" s="210"/>
      <c r="R50" s="591" t="str">
        <f t="shared" si="3"/>
        <v/>
      </c>
    </row>
    <row r="51" spans="1:18">
      <c r="A51" s="595"/>
      <c r="B51" s="595"/>
      <c r="C51" s="595"/>
      <c r="D51" s="595"/>
      <c r="E51" s="593"/>
      <c r="F51" s="593"/>
      <c r="G51" s="588"/>
      <c r="H51" s="589"/>
      <c r="I51" s="588"/>
      <c r="J51" s="589"/>
      <c r="K51" s="590" t="str">
        <f t="shared" si="2"/>
        <v/>
      </c>
      <c r="L51" s="595"/>
      <c r="M51" s="595"/>
      <c r="N51" s="595"/>
      <c r="O51" s="210"/>
      <c r="P51" s="210"/>
      <c r="Q51" s="210"/>
      <c r="R51" s="591" t="str">
        <f t="shared" si="3"/>
        <v/>
      </c>
    </row>
    <row r="52" spans="1:18">
      <c r="A52" s="595"/>
      <c r="B52" s="595"/>
      <c r="C52" s="595"/>
      <c r="D52" s="595"/>
      <c r="E52" s="593"/>
      <c r="F52" s="593"/>
      <c r="G52" s="588"/>
      <c r="H52" s="589"/>
      <c r="I52" s="588"/>
      <c r="J52" s="589"/>
      <c r="K52" s="590" t="str">
        <f t="shared" si="2"/>
        <v/>
      </c>
      <c r="L52" s="595"/>
      <c r="M52" s="595"/>
      <c r="N52" s="595"/>
      <c r="O52" s="210"/>
      <c r="P52" s="210"/>
      <c r="Q52" s="210"/>
      <c r="R52" s="591" t="str">
        <f t="shared" si="3"/>
        <v/>
      </c>
    </row>
    <row r="53" spans="1:18">
      <c r="A53" s="595"/>
      <c r="B53" s="595"/>
      <c r="C53" s="595"/>
      <c r="D53" s="595"/>
      <c r="E53" s="593"/>
      <c r="F53" s="593"/>
      <c r="G53" s="588"/>
      <c r="H53" s="589"/>
      <c r="I53" s="588"/>
      <c r="J53" s="589"/>
      <c r="K53" s="590" t="str">
        <f t="shared" si="2"/>
        <v/>
      </c>
      <c r="L53" s="595"/>
      <c r="M53" s="595"/>
      <c r="N53" s="595"/>
      <c r="O53" s="210"/>
      <c r="P53" s="210"/>
      <c r="Q53" s="210"/>
      <c r="R53" s="591" t="str">
        <f t="shared" si="3"/>
        <v/>
      </c>
    </row>
    <row r="54" spans="1:18">
      <c r="A54" s="595"/>
      <c r="B54" s="595"/>
      <c r="C54" s="595"/>
      <c r="D54" s="595"/>
      <c r="E54" s="593"/>
      <c r="F54" s="593"/>
      <c r="G54" s="588"/>
      <c r="H54" s="589"/>
      <c r="I54" s="588"/>
      <c r="J54" s="589"/>
      <c r="K54" s="590" t="str">
        <f t="shared" si="2"/>
        <v/>
      </c>
      <c r="L54" s="595"/>
      <c r="M54" s="595"/>
      <c r="N54" s="595"/>
      <c r="O54" s="210"/>
      <c r="P54" s="210"/>
      <c r="Q54" s="210"/>
      <c r="R54" s="591" t="str">
        <f t="shared" si="3"/>
        <v/>
      </c>
    </row>
    <row r="55" spans="1:18">
      <c r="A55" s="595"/>
      <c r="B55" s="595"/>
      <c r="C55" s="588"/>
      <c r="D55" s="588"/>
      <c r="E55" s="589"/>
      <c r="F55" s="589"/>
      <c r="G55" s="588"/>
      <c r="H55" s="589"/>
      <c r="I55" s="588"/>
      <c r="J55" s="589"/>
      <c r="K55" s="590" t="str">
        <f t="shared" si="2"/>
        <v/>
      </c>
      <c r="L55" s="588"/>
      <c r="M55" s="588"/>
      <c r="N55" s="588"/>
      <c r="O55" s="589"/>
      <c r="P55" s="589"/>
      <c r="Q55" s="589"/>
      <c r="R55" s="591" t="str">
        <f t="shared" si="3"/>
        <v/>
      </c>
    </row>
    <row r="56" spans="1:18">
      <c r="A56" s="595"/>
      <c r="B56" s="595"/>
      <c r="C56" s="588"/>
      <c r="D56" s="588"/>
      <c r="E56" s="589"/>
      <c r="F56" s="589"/>
      <c r="G56" s="588"/>
      <c r="H56" s="589"/>
      <c r="I56" s="588"/>
      <c r="J56" s="589"/>
      <c r="K56" s="590" t="str">
        <f t="shared" si="2"/>
        <v/>
      </c>
      <c r="L56" s="588"/>
      <c r="M56" s="588"/>
      <c r="N56" s="588"/>
      <c r="O56" s="589"/>
      <c r="P56" s="589"/>
      <c r="Q56" s="589"/>
      <c r="R56" s="591" t="str">
        <f t="shared" si="3"/>
        <v/>
      </c>
    </row>
    <row r="57" spans="1:18">
      <c r="A57" s="151"/>
      <c r="B57" s="151"/>
      <c r="C57" s="151"/>
      <c r="D57" s="151"/>
      <c r="E57" s="152"/>
      <c r="F57" s="152"/>
      <c r="G57" s="151"/>
      <c r="H57" s="152"/>
      <c r="I57" s="151"/>
      <c r="J57" s="152"/>
      <c r="K57" s="152"/>
      <c r="L57" s="151"/>
      <c r="M57" s="151"/>
      <c r="N57" s="151"/>
      <c r="O57" s="153"/>
      <c r="P57" s="153"/>
      <c r="Q57" s="153"/>
      <c r="R57" s="153"/>
    </row>
    <row r="58" spans="1:18">
      <c r="A58" s="151"/>
      <c r="B58" s="151"/>
      <c r="C58" s="151"/>
      <c r="D58" s="151"/>
      <c r="E58" s="152"/>
      <c r="F58" s="152"/>
      <c r="G58" s="151"/>
      <c r="H58" s="152"/>
      <c r="J58" s="154"/>
      <c r="K58" s="152"/>
      <c r="L58" s="151"/>
      <c r="M58" s="151"/>
      <c r="N58" s="151"/>
      <c r="O58" s="153"/>
      <c r="P58" s="153"/>
      <c r="Q58" s="153"/>
      <c r="R58" s="153"/>
    </row>
    <row r="59" spans="1:18">
      <c r="A59" s="151"/>
      <c r="B59" s="151"/>
      <c r="C59" s="151"/>
      <c r="D59" s="151"/>
      <c r="E59" s="152"/>
      <c r="F59" s="152"/>
      <c r="G59" s="151"/>
      <c r="H59" s="152"/>
      <c r="I59" s="151"/>
      <c r="J59" s="152"/>
      <c r="K59" s="152"/>
      <c r="L59" s="151"/>
      <c r="M59" s="151"/>
      <c r="N59" s="151"/>
      <c r="O59" s="153"/>
      <c r="P59" s="153"/>
      <c r="Q59" s="153"/>
      <c r="R59" s="153"/>
    </row>
    <row r="60" spans="1:18">
      <c r="A60" s="151"/>
      <c r="B60" s="151"/>
      <c r="C60" s="151"/>
      <c r="D60" s="155"/>
      <c r="E60" s="152"/>
      <c r="F60" s="152"/>
      <c r="G60" s="151"/>
      <c r="H60" s="152"/>
      <c r="I60" s="151"/>
      <c r="J60" s="152"/>
      <c r="K60" s="152"/>
      <c r="L60" s="151"/>
      <c r="M60" s="151"/>
      <c r="N60" s="151"/>
      <c r="O60" s="153"/>
      <c r="P60" s="153"/>
      <c r="Q60" s="153"/>
      <c r="R60" s="153"/>
    </row>
    <row r="61" spans="1:18">
      <c r="A61" s="151"/>
      <c r="B61" s="151"/>
      <c r="C61" s="151"/>
      <c r="D61" s="151"/>
      <c r="E61" s="152"/>
      <c r="F61" s="152"/>
      <c r="G61" s="151"/>
      <c r="H61" s="152"/>
      <c r="I61" s="151"/>
      <c r="J61" s="152"/>
      <c r="K61" s="152"/>
      <c r="L61" s="151"/>
      <c r="M61" s="151"/>
      <c r="N61" s="151"/>
      <c r="O61" s="153"/>
      <c r="P61" s="153"/>
      <c r="Q61" s="153"/>
      <c r="R61" s="153"/>
    </row>
    <row r="62" spans="1:18">
      <c r="A62" s="151"/>
      <c r="B62" s="151"/>
      <c r="C62" s="156"/>
      <c r="D62" s="937"/>
      <c r="E62" s="937"/>
      <c r="F62" s="937"/>
      <c r="G62" s="937"/>
      <c r="H62" s="937"/>
      <c r="I62" s="937"/>
      <c r="J62" s="937"/>
      <c r="K62" s="937"/>
      <c r="L62" s="937"/>
      <c r="M62" s="937"/>
      <c r="N62" s="937"/>
      <c r="O62" s="937"/>
      <c r="P62" s="937"/>
      <c r="Q62" s="937"/>
      <c r="R62" s="937"/>
    </row>
    <row r="63" spans="1:18">
      <c r="A63" s="151"/>
      <c r="B63" s="151"/>
      <c r="C63" s="156"/>
      <c r="D63" s="937"/>
      <c r="E63" s="937"/>
      <c r="F63" s="937"/>
      <c r="G63" s="937"/>
      <c r="H63" s="937"/>
      <c r="I63" s="937"/>
      <c r="J63" s="937"/>
      <c r="K63" s="937"/>
      <c r="L63" s="937"/>
      <c r="M63" s="937"/>
      <c r="N63" s="937"/>
      <c r="O63" s="937"/>
      <c r="P63" s="937"/>
      <c r="Q63" s="937"/>
      <c r="R63" s="937"/>
    </row>
    <row r="64" spans="1:18">
      <c r="A64" s="151"/>
      <c r="B64" s="151"/>
      <c r="C64" s="156"/>
      <c r="D64" s="937"/>
      <c r="E64" s="937"/>
      <c r="F64" s="937"/>
      <c r="G64" s="937"/>
      <c r="H64" s="937"/>
      <c r="I64" s="937"/>
      <c r="J64" s="937"/>
      <c r="K64" s="937"/>
      <c r="L64" s="937"/>
      <c r="M64" s="937"/>
      <c r="N64" s="937"/>
      <c r="O64" s="937"/>
      <c r="P64" s="937"/>
      <c r="Q64" s="937"/>
      <c r="R64" s="937"/>
    </row>
    <row r="65" spans="1:18">
      <c r="A65" s="157"/>
      <c r="B65" s="157"/>
      <c r="C65" s="158"/>
      <c r="D65" s="936"/>
      <c r="E65" s="936"/>
      <c r="F65" s="936"/>
      <c r="G65" s="936"/>
      <c r="H65" s="936"/>
      <c r="I65" s="936"/>
      <c r="J65" s="936"/>
      <c r="K65" s="936"/>
      <c r="L65" s="936"/>
      <c r="M65" s="936"/>
      <c r="N65" s="936"/>
      <c r="O65" s="936"/>
      <c r="P65" s="936"/>
      <c r="Q65" s="936"/>
      <c r="R65" s="936"/>
    </row>
    <row r="66" spans="1:18">
      <c r="A66" s="157"/>
      <c r="B66" s="157"/>
      <c r="C66" s="158"/>
      <c r="D66" s="936"/>
      <c r="E66" s="936"/>
      <c r="F66" s="936"/>
      <c r="G66" s="936"/>
      <c r="H66" s="936"/>
      <c r="I66" s="936"/>
      <c r="J66" s="936"/>
      <c r="K66" s="936"/>
      <c r="L66" s="936"/>
      <c r="M66" s="936"/>
      <c r="N66" s="936"/>
      <c r="O66" s="936"/>
      <c r="P66" s="936"/>
      <c r="Q66" s="936"/>
      <c r="R66" s="936"/>
    </row>
    <row r="67" spans="1:18">
      <c r="A67" s="157"/>
      <c r="B67" s="157"/>
      <c r="C67" s="158"/>
      <c r="D67" s="157"/>
      <c r="E67" s="159"/>
      <c r="F67" s="159"/>
      <c r="G67" s="157"/>
      <c r="H67" s="159"/>
      <c r="I67" s="157"/>
      <c r="J67" s="159"/>
      <c r="K67" s="152"/>
      <c r="L67" s="157"/>
      <c r="M67" s="157"/>
      <c r="N67" s="157"/>
    </row>
    <row r="68" spans="1:18">
      <c r="A68" s="157"/>
      <c r="B68" s="157"/>
      <c r="C68" s="158"/>
      <c r="D68" s="157"/>
      <c r="E68" s="159"/>
      <c r="F68" s="159"/>
      <c r="G68" s="157"/>
      <c r="H68" s="159"/>
      <c r="I68" s="157"/>
      <c r="J68" s="159"/>
      <c r="K68" s="152"/>
      <c r="L68" s="157"/>
      <c r="M68" s="157"/>
      <c r="N68" s="157"/>
    </row>
  </sheetData>
  <mergeCells count="22">
    <mergeCell ref="B17:B21"/>
    <mergeCell ref="A1:R6"/>
    <mergeCell ref="N11:Q11"/>
    <mergeCell ref="N9:Q9"/>
    <mergeCell ref="A17:A21"/>
    <mergeCell ref="C17:C21"/>
    <mergeCell ref="D17:D21"/>
    <mergeCell ref="H11:K11"/>
    <mergeCell ref="H13:K13"/>
    <mergeCell ref="A13:B13"/>
    <mergeCell ref="L17:L21"/>
    <mergeCell ref="G17:G21"/>
    <mergeCell ref="N13:Q13"/>
    <mergeCell ref="M17:M21"/>
    <mergeCell ref="N15:Q15"/>
    <mergeCell ref="N17:R18"/>
    <mergeCell ref="N19:N21"/>
    <mergeCell ref="D66:R66"/>
    <mergeCell ref="D62:R62"/>
    <mergeCell ref="D63:R63"/>
    <mergeCell ref="D64:R64"/>
    <mergeCell ref="D65:R65"/>
  </mergeCells>
  <phoneticPr fontId="26" type="noConversion"/>
  <conditionalFormatting sqref="K22:K26">
    <cfRule type="cellIs" dxfId="13" priority="1" stopIfTrue="1" operator="greaterThanOrEqual">
      <formula>$K83</formula>
    </cfRule>
  </conditionalFormatting>
  <conditionalFormatting sqref="K27:K39">
    <cfRule type="cellIs" dxfId="12" priority="2" stopIfTrue="1" operator="greaterThanOrEqual">
      <formula>$K94</formula>
    </cfRule>
  </conditionalFormatting>
  <conditionalFormatting sqref="K40:K42">
    <cfRule type="cellIs" dxfId="11" priority="3" stopIfTrue="1" operator="greaterThanOrEqual">
      <formula>$K118</formula>
    </cfRule>
  </conditionalFormatting>
  <conditionalFormatting sqref="K43:K46">
    <cfRule type="cellIs" dxfId="10" priority="4" stopIfTrue="1" operator="greaterThanOrEqual">
      <formula>$K126</formula>
    </cfRule>
  </conditionalFormatting>
  <conditionalFormatting sqref="K47:K56">
    <cfRule type="cellIs" dxfId="9" priority="5" stopIfTrue="1" operator="greaterThanOrEqual">
      <formula>$K136</formula>
    </cfRule>
  </conditionalFormatting>
  <conditionalFormatting sqref="K57">
    <cfRule type="cellIs" dxfId="8" priority="6" stopIfTrue="1" operator="greaterThanOrEqual">
      <formula>$K167</formula>
    </cfRule>
  </conditionalFormatting>
  <printOptions horizontalCentered="1" verticalCentered="1"/>
  <pageMargins left="0.25" right="0.25" top="0.41" bottom="0.8125" header="0.17" footer="0.16"/>
  <pageSetup scale="80" fitToHeight="27" orientation="landscape" r:id="rId1"/>
  <headerFooter alignWithMargins="0">
    <oddFooter xml:space="preserve">&amp;L&amp;6&amp;Z&amp;F&amp;CQAI_6012 AAR Mobility PPAP Workbook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1383" r:id="rId4" name="Button 7">
              <controlPr defaultSize="0" print="0" autoFill="0" autoPict="0" macro="[0]!Severity">
                <anchor moveWithCells="1" sizeWithCells="1">
                  <from>
                    <xdr:col>6</xdr:col>
                    <xdr:colOff>19050</xdr:colOff>
                    <xdr:row>13</xdr:row>
                    <xdr:rowOff>47625</xdr:rowOff>
                  </from>
                  <to>
                    <xdr:col>6</xdr:col>
                    <xdr:colOff>1095375</xdr:colOff>
                    <xdr:row>15</xdr:row>
                    <xdr:rowOff>66675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indexed="11"/>
    <pageSetUpPr fitToPage="1"/>
  </sheetPr>
  <dimension ref="A1:M42"/>
  <sheetViews>
    <sheetView zoomScaleNormal="100" workbookViewId="0">
      <pane ySplit="19" topLeftCell="A20" activePane="bottomLeft" state="frozen"/>
      <selection activeCell="O21" sqref="O21"/>
      <selection pane="bottomLeft" activeCell="O21" sqref="O21"/>
    </sheetView>
  </sheetViews>
  <sheetFormatPr defaultColWidth="9.140625" defaultRowHeight="12.75"/>
  <cols>
    <col min="1" max="1" width="7.5703125" style="1" customWidth="1"/>
    <col min="2" max="2" width="13.140625" style="1" customWidth="1"/>
    <col min="3" max="3" width="9.85546875" style="1" customWidth="1"/>
    <col min="4" max="4" width="4.85546875" style="1" customWidth="1"/>
    <col min="5" max="6" width="8.85546875" style="1" customWidth="1"/>
    <col min="7" max="7" width="6.7109375" style="1" customWidth="1"/>
    <col min="8" max="8" width="14.7109375" style="1" customWidth="1"/>
    <col min="9" max="9" width="11.42578125" style="1" customWidth="1"/>
    <col min="10" max="11" width="6.7109375" style="1" customWidth="1"/>
    <col min="12" max="12" width="10.42578125" style="1" customWidth="1"/>
    <col min="13" max="13" width="13.28515625" style="1" customWidth="1"/>
    <col min="14" max="16384" width="9.140625" style="1"/>
  </cols>
  <sheetData>
    <row r="1" spans="1:13">
      <c r="A1" s="885" t="s">
        <v>298</v>
      </c>
      <c r="B1" s="943"/>
      <c r="C1" s="943"/>
      <c r="D1" s="943"/>
      <c r="E1" s="943"/>
      <c r="F1" s="943"/>
      <c r="G1" s="943"/>
      <c r="H1" s="943"/>
      <c r="I1" s="943"/>
      <c r="J1" s="943"/>
      <c r="K1" s="943"/>
      <c r="L1" s="943"/>
      <c r="M1" s="944"/>
    </row>
    <row r="2" spans="1:13">
      <c r="A2" s="945"/>
      <c r="B2" s="946"/>
      <c r="C2" s="946"/>
      <c r="D2" s="946"/>
      <c r="E2" s="946"/>
      <c r="F2" s="946"/>
      <c r="G2" s="946"/>
      <c r="H2" s="946"/>
      <c r="I2" s="946"/>
      <c r="J2" s="946"/>
      <c r="K2" s="946"/>
      <c r="L2" s="946"/>
      <c r="M2" s="947"/>
    </row>
    <row r="3" spans="1:13">
      <c r="A3" s="945"/>
      <c r="B3" s="946"/>
      <c r="C3" s="946"/>
      <c r="D3" s="946"/>
      <c r="E3" s="946"/>
      <c r="F3" s="946"/>
      <c r="G3" s="946"/>
      <c r="H3" s="946"/>
      <c r="I3" s="946"/>
      <c r="J3" s="946"/>
      <c r="K3" s="946"/>
      <c r="L3" s="946"/>
      <c r="M3" s="947"/>
    </row>
    <row r="4" spans="1:13">
      <c r="A4" s="945"/>
      <c r="B4" s="946"/>
      <c r="C4" s="946"/>
      <c r="D4" s="946"/>
      <c r="E4" s="946"/>
      <c r="F4" s="946"/>
      <c r="G4" s="946"/>
      <c r="H4" s="946"/>
      <c r="I4" s="946"/>
      <c r="J4" s="946"/>
      <c r="K4" s="946"/>
      <c r="L4" s="946"/>
      <c r="M4" s="947"/>
    </row>
    <row r="5" spans="1:13" ht="13.5" thickBot="1">
      <c r="A5" s="948"/>
      <c r="B5" s="949"/>
      <c r="C5" s="949"/>
      <c r="D5" s="949"/>
      <c r="E5" s="949"/>
      <c r="F5" s="949"/>
      <c r="G5" s="949"/>
      <c r="H5" s="949"/>
      <c r="I5" s="949"/>
      <c r="J5" s="949"/>
      <c r="K5" s="949"/>
      <c r="L5" s="949"/>
      <c r="M5" s="950"/>
    </row>
    <row r="6" spans="1:13" s="160" customFormat="1" ht="17.25" customHeight="1"/>
    <row r="7" spans="1:13" s="160" customFormat="1" ht="11.25" customHeight="1">
      <c r="A7" s="161" t="s">
        <v>52</v>
      </c>
      <c r="B7" s="162"/>
      <c r="C7" s="162"/>
      <c r="D7" s="163"/>
      <c r="E7" s="161" t="s">
        <v>53</v>
      </c>
      <c r="F7" s="162"/>
      <c r="G7" s="162"/>
      <c r="H7" s="162"/>
      <c r="I7" s="163"/>
      <c r="J7" s="161" t="s">
        <v>28</v>
      </c>
      <c r="K7" s="162"/>
      <c r="L7" s="161" t="s">
        <v>29</v>
      </c>
      <c r="M7" s="163"/>
    </row>
    <row r="8" spans="1:13" s="10" customFormat="1">
      <c r="A8" s="164"/>
      <c r="B8" s="165"/>
      <c r="C8" s="165"/>
      <c r="D8" s="166"/>
      <c r="E8" s="941"/>
      <c r="F8" s="942"/>
      <c r="G8" s="942"/>
      <c r="H8" s="167"/>
      <c r="I8" s="168"/>
      <c r="J8" s="953">
        <v>35065</v>
      </c>
      <c r="K8" s="954"/>
      <c r="L8" s="953">
        <v>35065</v>
      </c>
      <c r="M8" s="954"/>
    </row>
    <row r="9" spans="1:13" s="160" customFormat="1" ht="11.25">
      <c r="A9" s="161" t="s">
        <v>54</v>
      </c>
      <c r="B9" s="162"/>
      <c r="C9" s="162"/>
      <c r="D9" s="163"/>
      <c r="E9" s="161" t="s">
        <v>22</v>
      </c>
      <c r="F9" s="162"/>
      <c r="G9" s="162"/>
      <c r="H9" s="162"/>
      <c r="I9" s="163"/>
      <c r="J9" s="161" t="s">
        <v>55</v>
      </c>
      <c r="K9" s="162"/>
      <c r="L9" s="162"/>
      <c r="M9" s="163"/>
    </row>
    <row r="10" spans="1:13" s="10" customFormat="1">
      <c r="A10" s="553" t="str">
        <f>INTRO!D29</f>
        <v>P-NUMBER</v>
      </c>
      <c r="B10" s="165"/>
      <c r="C10" s="165"/>
      <c r="D10" s="169"/>
      <c r="E10" s="170"/>
      <c r="F10" s="165"/>
      <c r="G10" s="165"/>
      <c r="H10" s="165"/>
      <c r="I10" s="166"/>
      <c r="J10" s="171"/>
      <c r="K10" s="172"/>
      <c r="L10" s="172"/>
      <c r="M10" s="173"/>
    </row>
    <row r="11" spans="1:13" s="160" customFormat="1" ht="11.25">
      <c r="A11" s="161" t="s">
        <v>56</v>
      </c>
      <c r="B11" s="162"/>
      <c r="C11" s="162"/>
      <c r="D11" s="163"/>
      <c r="E11" s="161" t="s">
        <v>57</v>
      </c>
      <c r="F11" s="162"/>
      <c r="G11" s="162"/>
      <c r="H11" s="162"/>
      <c r="I11" s="163"/>
      <c r="J11" s="161" t="s">
        <v>58</v>
      </c>
      <c r="K11" s="162"/>
      <c r="L11" s="162"/>
      <c r="M11" s="163"/>
    </row>
    <row r="12" spans="1:13" s="10" customFormat="1">
      <c r="A12" s="553" t="str">
        <f>INTRO!D28</f>
        <v>NAME</v>
      </c>
      <c r="B12" s="165"/>
      <c r="C12" s="165"/>
      <c r="D12" s="166"/>
      <c r="E12" s="174"/>
      <c r="F12" s="175"/>
      <c r="G12" s="165"/>
      <c r="H12" s="165"/>
      <c r="I12" s="166"/>
      <c r="J12" s="171"/>
      <c r="K12" s="172"/>
      <c r="L12" s="172"/>
      <c r="M12" s="173"/>
    </row>
    <row r="13" spans="1:13" s="160" customFormat="1" ht="11.25">
      <c r="A13" s="161" t="s">
        <v>59</v>
      </c>
      <c r="B13" s="162"/>
      <c r="C13" s="161" t="s">
        <v>299</v>
      </c>
      <c r="D13" s="163"/>
      <c r="E13" s="161" t="s">
        <v>60</v>
      </c>
      <c r="F13" s="162"/>
      <c r="G13" s="162"/>
      <c r="H13" s="162"/>
      <c r="I13" s="163"/>
      <c r="J13" s="161" t="s">
        <v>60</v>
      </c>
      <c r="K13" s="162"/>
      <c r="L13" s="162"/>
      <c r="M13" s="163"/>
    </row>
    <row r="14" spans="1:13" s="10" customFormat="1">
      <c r="A14" s="164"/>
      <c r="B14" s="165"/>
      <c r="C14" s="951" t="str">
        <f>INTRO!D37</f>
        <v>NUMBER</v>
      </c>
      <c r="D14" s="952"/>
      <c r="E14" s="174"/>
      <c r="F14" s="175"/>
      <c r="G14" s="165"/>
      <c r="H14" s="165"/>
      <c r="I14" s="166"/>
      <c r="J14" s="171"/>
      <c r="K14" s="172"/>
      <c r="L14" s="172"/>
      <c r="M14" s="173"/>
    </row>
    <row r="15" spans="1:13" s="153" customFormat="1" ht="9.75" customHeight="1">
      <c r="A15" s="902" t="s">
        <v>300</v>
      </c>
      <c r="B15" s="902" t="s">
        <v>301</v>
      </c>
      <c r="C15" s="902" t="s">
        <v>302</v>
      </c>
      <c r="D15" s="907" t="s">
        <v>19</v>
      </c>
      <c r="E15" s="908"/>
      <c r="F15" s="909"/>
      <c r="G15" s="902" t="s">
        <v>303</v>
      </c>
      <c r="H15" s="907" t="s">
        <v>61</v>
      </c>
      <c r="I15" s="908"/>
      <c r="J15" s="908"/>
      <c r="K15" s="908"/>
      <c r="L15" s="909"/>
      <c r="M15" s="902" t="s">
        <v>304</v>
      </c>
    </row>
    <row r="16" spans="1:13" s="153" customFormat="1" ht="9.75" customHeight="1">
      <c r="A16" s="903"/>
      <c r="B16" s="903"/>
      <c r="C16" s="903"/>
      <c r="D16" s="910"/>
      <c r="E16" s="911"/>
      <c r="F16" s="912"/>
      <c r="G16" s="903"/>
      <c r="H16" s="910"/>
      <c r="I16" s="911"/>
      <c r="J16" s="911"/>
      <c r="K16" s="911"/>
      <c r="L16" s="912"/>
      <c r="M16" s="903"/>
    </row>
    <row r="17" spans="1:13" s="153" customFormat="1" ht="9.75" customHeight="1">
      <c r="A17" s="903"/>
      <c r="B17" s="903"/>
      <c r="C17" s="903"/>
      <c r="D17" s="939" t="s">
        <v>65</v>
      </c>
      <c r="E17" s="939" t="s">
        <v>66</v>
      </c>
      <c r="F17" s="939" t="s">
        <v>20</v>
      </c>
      <c r="G17" s="903"/>
      <c r="H17" s="140" t="s">
        <v>62</v>
      </c>
      <c r="I17" s="137" t="s">
        <v>63</v>
      </c>
      <c r="J17" s="176" t="s">
        <v>64</v>
      </c>
      <c r="K17" s="177"/>
      <c r="L17" s="902" t="s">
        <v>305</v>
      </c>
      <c r="M17" s="903"/>
    </row>
    <row r="18" spans="1:13" s="153" customFormat="1" ht="9.75" customHeight="1">
      <c r="A18" s="903"/>
      <c r="B18" s="903"/>
      <c r="C18" s="903"/>
      <c r="D18" s="955"/>
      <c r="E18" s="955"/>
      <c r="F18" s="955"/>
      <c r="G18" s="903"/>
      <c r="H18" s="140" t="s">
        <v>67</v>
      </c>
      <c r="I18" s="140" t="s">
        <v>68</v>
      </c>
      <c r="J18" s="939" t="s">
        <v>69</v>
      </c>
      <c r="K18" s="939" t="s">
        <v>70</v>
      </c>
      <c r="L18" s="903"/>
      <c r="M18" s="903"/>
    </row>
    <row r="19" spans="1:13" s="153" customFormat="1" ht="9.75" customHeight="1">
      <c r="A19" s="904"/>
      <c r="B19" s="904"/>
      <c r="C19" s="904"/>
      <c r="D19" s="940"/>
      <c r="E19" s="940"/>
      <c r="F19" s="940"/>
      <c r="G19" s="904"/>
      <c r="H19" s="143" t="s">
        <v>23</v>
      </c>
      <c r="I19" s="143" t="s">
        <v>71</v>
      </c>
      <c r="J19" s="940"/>
      <c r="K19" s="940"/>
      <c r="L19" s="904"/>
      <c r="M19" s="904"/>
    </row>
    <row r="20" spans="1:13">
      <c r="A20" s="144"/>
      <c r="B20" s="144"/>
      <c r="C20" s="144"/>
      <c r="D20" s="145"/>
      <c r="E20" s="144"/>
      <c r="F20" s="144"/>
      <c r="G20" s="144"/>
      <c r="H20" s="144"/>
      <c r="I20" s="145"/>
      <c r="J20" s="145"/>
      <c r="K20" s="145"/>
      <c r="L20" s="145"/>
      <c r="M20" s="148"/>
    </row>
    <row r="21" spans="1:13">
      <c r="A21" s="144"/>
      <c r="B21" s="144"/>
      <c r="C21" s="144"/>
      <c r="D21" s="145"/>
      <c r="E21" s="144"/>
      <c r="F21" s="144"/>
      <c r="G21" s="144"/>
      <c r="H21" s="144"/>
      <c r="I21" s="145"/>
      <c r="J21" s="145"/>
      <c r="K21" s="145"/>
      <c r="L21" s="145"/>
      <c r="M21" s="148"/>
    </row>
    <row r="22" spans="1:13">
      <c r="A22" s="144"/>
      <c r="B22" s="144"/>
      <c r="C22" s="144"/>
      <c r="D22" s="145"/>
      <c r="E22" s="144"/>
      <c r="F22" s="144"/>
      <c r="G22" s="144"/>
      <c r="H22" s="144"/>
      <c r="I22" s="145"/>
      <c r="J22" s="145"/>
      <c r="K22" s="145"/>
      <c r="L22" s="145"/>
      <c r="M22" s="148"/>
    </row>
    <row r="23" spans="1:13">
      <c r="A23" s="144"/>
      <c r="B23" s="144"/>
      <c r="C23" s="144"/>
      <c r="D23" s="145"/>
      <c r="E23" s="144"/>
      <c r="F23" s="144"/>
      <c r="G23" s="144"/>
      <c r="H23" s="144"/>
      <c r="I23" s="145"/>
      <c r="J23" s="145"/>
      <c r="K23" s="145"/>
      <c r="L23" s="145"/>
      <c r="M23" s="148"/>
    </row>
    <row r="24" spans="1:13">
      <c r="A24" s="144"/>
      <c r="B24" s="144"/>
      <c r="C24" s="144"/>
      <c r="D24" s="145"/>
      <c r="E24" s="144"/>
      <c r="F24" s="144"/>
      <c r="G24" s="144"/>
      <c r="H24" s="144"/>
      <c r="I24" s="145"/>
      <c r="J24" s="145"/>
      <c r="K24" s="145"/>
      <c r="L24" s="145"/>
      <c r="M24" s="148"/>
    </row>
    <row r="25" spans="1:13">
      <c r="A25" s="144"/>
      <c r="B25" s="144"/>
      <c r="C25" s="144"/>
      <c r="D25" s="145"/>
      <c r="E25" s="144"/>
      <c r="F25" s="144"/>
      <c r="G25" s="144"/>
      <c r="H25" s="144"/>
      <c r="I25" s="145"/>
      <c r="J25" s="145"/>
      <c r="K25" s="145"/>
      <c r="L25" s="145"/>
      <c r="M25" s="148"/>
    </row>
    <row r="26" spans="1:13">
      <c r="A26" s="144"/>
      <c r="B26" s="144"/>
      <c r="C26" s="144"/>
      <c r="D26" s="145"/>
      <c r="E26" s="144"/>
      <c r="F26" s="144"/>
      <c r="G26" s="144"/>
      <c r="H26" s="144"/>
      <c r="I26" s="145"/>
      <c r="J26" s="145"/>
      <c r="K26" s="145"/>
      <c r="L26" s="145"/>
      <c r="M26" s="148"/>
    </row>
    <row r="27" spans="1:13">
      <c r="A27" s="144"/>
      <c r="B27" s="144"/>
      <c r="C27" s="144"/>
      <c r="D27" s="145"/>
      <c r="E27" s="144"/>
      <c r="F27" s="144"/>
      <c r="G27" s="144"/>
      <c r="H27" s="144"/>
      <c r="I27" s="145"/>
      <c r="J27" s="145"/>
      <c r="K27" s="145"/>
      <c r="L27" s="145"/>
      <c r="M27" s="148"/>
    </row>
    <row r="28" spans="1:13">
      <c r="A28" s="144"/>
      <c r="B28" s="144"/>
      <c r="C28" s="144"/>
      <c r="D28" s="145"/>
      <c r="E28" s="144"/>
      <c r="F28" s="144"/>
      <c r="G28" s="144"/>
      <c r="H28" s="144"/>
      <c r="I28" s="145"/>
      <c r="J28" s="145"/>
      <c r="K28" s="145"/>
      <c r="L28" s="145"/>
      <c r="M28" s="148"/>
    </row>
    <row r="29" spans="1:13">
      <c r="A29" s="144"/>
      <c r="B29" s="144"/>
      <c r="C29" s="144"/>
      <c r="D29" s="145"/>
      <c r="E29" s="144"/>
      <c r="F29" s="144"/>
      <c r="G29" s="144"/>
      <c r="H29" s="144"/>
      <c r="I29" s="145"/>
      <c r="J29" s="145"/>
      <c r="K29" s="145"/>
      <c r="L29" s="145"/>
      <c r="M29" s="148"/>
    </row>
    <row r="30" spans="1:13">
      <c r="A30" s="144"/>
      <c r="B30" s="144"/>
      <c r="C30" s="144"/>
      <c r="D30" s="145"/>
      <c r="E30" s="144"/>
      <c r="F30" s="144"/>
      <c r="G30" s="144"/>
      <c r="H30" s="144"/>
      <c r="I30" s="145"/>
      <c r="J30" s="145"/>
      <c r="K30" s="145"/>
      <c r="L30" s="145"/>
      <c r="M30" s="148"/>
    </row>
    <row r="31" spans="1:13">
      <c r="A31" s="144"/>
      <c r="B31" s="144"/>
      <c r="C31" s="144"/>
      <c r="D31" s="145"/>
      <c r="E31" s="144"/>
      <c r="F31" s="144"/>
      <c r="G31" s="144"/>
      <c r="H31" s="144"/>
      <c r="I31" s="145"/>
      <c r="J31" s="145"/>
      <c r="K31" s="145"/>
      <c r="L31" s="145"/>
      <c r="M31" s="148"/>
    </row>
    <row r="32" spans="1:13">
      <c r="A32" s="144"/>
      <c r="B32" s="144"/>
      <c r="C32" s="144"/>
      <c r="D32" s="145"/>
      <c r="E32" s="144"/>
      <c r="F32" s="144"/>
      <c r="G32" s="144"/>
      <c r="H32" s="144"/>
      <c r="I32" s="145"/>
      <c r="J32" s="145"/>
      <c r="K32" s="145"/>
      <c r="L32" s="145"/>
      <c r="M32" s="148"/>
    </row>
    <row r="33" spans="1:13">
      <c r="A33" s="144"/>
      <c r="B33" s="144"/>
      <c r="C33" s="144"/>
      <c r="D33" s="145"/>
      <c r="E33" s="144"/>
      <c r="F33" s="144"/>
      <c r="G33" s="144"/>
      <c r="H33" s="144"/>
      <c r="I33" s="145"/>
      <c r="J33" s="145"/>
      <c r="K33" s="145"/>
      <c r="L33" s="145"/>
      <c r="M33" s="148"/>
    </row>
    <row r="34" spans="1:13">
      <c r="A34" s="144"/>
      <c r="B34" s="144"/>
      <c r="C34" s="144"/>
      <c r="D34" s="145"/>
      <c r="E34" s="144"/>
      <c r="F34" s="144"/>
      <c r="G34" s="144"/>
      <c r="H34" s="144"/>
      <c r="I34" s="145"/>
      <c r="J34" s="145"/>
      <c r="K34" s="145"/>
      <c r="L34" s="145"/>
      <c r="M34" s="148"/>
    </row>
    <row r="35" spans="1:13">
      <c r="A35" s="144"/>
      <c r="B35" s="144"/>
      <c r="C35" s="144"/>
      <c r="D35" s="145"/>
      <c r="E35" s="144"/>
      <c r="F35" s="144"/>
      <c r="G35" s="144"/>
      <c r="H35" s="144"/>
      <c r="I35" s="145"/>
      <c r="J35" s="145"/>
      <c r="K35" s="145"/>
      <c r="L35" s="145"/>
      <c r="M35" s="148"/>
    </row>
    <row r="36" spans="1:13">
      <c r="A36" s="144"/>
      <c r="B36" s="144"/>
      <c r="C36" s="144"/>
      <c r="D36" s="145"/>
      <c r="E36" s="144"/>
      <c r="F36" s="144"/>
      <c r="G36" s="144"/>
      <c r="H36" s="144"/>
      <c r="I36" s="145"/>
      <c r="J36" s="145"/>
      <c r="K36" s="145"/>
      <c r="L36" s="145"/>
      <c r="M36" s="148"/>
    </row>
    <row r="37" spans="1:13">
      <c r="A37" s="144"/>
      <c r="B37" s="144"/>
      <c r="C37" s="144"/>
      <c r="D37" s="145"/>
      <c r="E37" s="144"/>
      <c r="F37" s="144"/>
      <c r="G37" s="144"/>
      <c r="H37" s="144"/>
      <c r="I37" s="145"/>
      <c r="J37" s="145"/>
      <c r="K37" s="145"/>
      <c r="L37" s="145"/>
      <c r="M37" s="148"/>
    </row>
    <row r="38" spans="1:13">
      <c r="A38" s="144"/>
      <c r="B38" s="144"/>
      <c r="C38" s="144"/>
      <c r="D38" s="145"/>
      <c r="E38" s="144"/>
      <c r="F38" s="144"/>
      <c r="G38" s="144"/>
      <c r="H38" s="144"/>
      <c r="I38" s="145"/>
      <c r="J38" s="145"/>
      <c r="K38" s="145"/>
      <c r="L38" s="145"/>
      <c r="M38" s="148"/>
    </row>
    <row r="39" spans="1:13">
      <c r="A39" s="144"/>
      <c r="B39" s="144"/>
      <c r="C39" s="144"/>
      <c r="D39" s="145"/>
      <c r="E39" s="144"/>
      <c r="F39" s="144"/>
      <c r="G39" s="144"/>
      <c r="H39" s="144"/>
      <c r="I39" s="145"/>
      <c r="J39" s="145"/>
      <c r="K39" s="145"/>
      <c r="L39" s="145"/>
      <c r="M39" s="148"/>
    </row>
    <row r="40" spans="1:13">
      <c r="A40" s="144"/>
      <c r="B40" s="144"/>
      <c r="C40" s="144"/>
      <c r="D40" s="145"/>
      <c r="E40" s="144"/>
      <c r="F40" s="144"/>
      <c r="G40" s="144"/>
      <c r="H40" s="144"/>
      <c r="I40" s="145"/>
      <c r="J40" s="145"/>
      <c r="K40" s="145"/>
      <c r="L40" s="145"/>
      <c r="M40" s="148"/>
    </row>
    <row r="41" spans="1:13">
      <c r="A41" s="144"/>
      <c r="B41" s="144"/>
      <c r="C41" s="144"/>
      <c r="D41" s="145"/>
      <c r="E41" s="144"/>
      <c r="F41" s="144"/>
      <c r="G41" s="144"/>
      <c r="H41" s="144"/>
      <c r="I41" s="145"/>
      <c r="J41" s="145"/>
      <c r="K41" s="145"/>
      <c r="L41" s="145"/>
      <c r="M41" s="148"/>
    </row>
    <row r="42" spans="1:13">
      <c r="A42" s="146"/>
      <c r="B42" s="146"/>
      <c r="C42" s="146"/>
      <c r="D42" s="147"/>
      <c r="E42" s="146"/>
      <c r="F42" s="146"/>
      <c r="G42" s="146"/>
      <c r="H42" s="146"/>
      <c r="I42" s="147"/>
      <c r="J42" s="147"/>
      <c r="K42" s="147"/>
      <c r="L42" s="147"/>
      <c r="M42" s="149"/>
    </row>
  </sheetData>
  <mergeCells count="18">
    <mergeCell ref="F17:F19"/>
    <mergeCell ref="G15:G19"/>
    <mergeCell ref="J18:J19"/>
    <mergeCell ref="E8:G8"/>
    <mergeCell ref="A1:M5"/>
    <mergeCell ref="A15:A19"/>
    <mergeCell ref="B15:B19"/>
    <mergeCell ref="K18:K19"/>
    <mergeCell ref="L17:L19"/>
    <mergeCell ref="D15:F16"/>
    <mergeCell ref="H15:L16"/>
    <mergeCell ref="C14:D14"/>
    <mergeCell ref="M15:M19"/>
    <mergeCell ref="J8:K8"/>
    <mergeCell ref="L8:M8"/>
    <mergeCell ref="C15:C19"/>
    <mergeCell ref="D17:D19"/>
    <mergeCell ref="E17:E19"/>
  </mergeCells>
  <phoneticPr fontId="26" type="noConversion"/>
  <printOptions horizontalCentered="1" verticalCentered="1"/>
  <pageMargins left="0.25" right="0.25" top="0.41" bottom="0.8125" header="0.17" footer="0.16"/>
  <pageSetup fitToHeight="27" orientation="landscape" r:id="rId1"/>
  <headerFooter alignWithMargins="0">
    <oddFooter xml:space="preserve">&amp;L&amp;6&amp;Z&amp;F&amp;CQAI_6012 AAR Mobility PPAP Workbook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467" r:id="rId4" name="Check Box 3">
              <controlPr locked="0" defaultSize="0" autoFill="0" autoLine="0" autoPict="0">
                <anchor moveWithCells="1">
                  <from>
                    <xdr:col>0</xdr:col>
                    <xdr:colOff>38100</xdr:colOff>
                    <xdr:row>4</xdr:row>
                    <xdr:rowOff>180975</xdr:rowOff>
                  </from>
                  <to>
                    <xdr:col>1</xdr:col>
                    <xdr:colOff>571500</xdr:colOff>
                    <xdr:row>5</xdr:row>
                    <xdr:rowOff>209550</xdr:rowOff>
                  </to>
                </anchor>
              </controlPr>
            </control>
          </mc:Choice>
        </mc:AlternateContent>
        <mc:AlternateContent xmlns:mc="http://schemas.openxmlformats.org/markup-compatibility/2006">
          <mc:Choice Requires="x14">
            <control shapeId="62468" r:id="rId5" name="Check Box 4">
              <controlPr locked="0" defaultSize="0" autoFill="0" autoLine="0" autoPict="0">
                <anchor moveWithCells="1">
                  <from>
                    <xdr:col>1</xdr:col>
                    <xdr:colOff>390525</xdr:colOff>
                    <xdr:row>4</xdr:row>
                    <xdr:rowOff>180975</xdr:rowOff>
                  </from>
                  <to>
                    <xdr:col>3</xdr:col>
                    <xdr:colOff>0</xdr:colOff>
                    <xdr:row>5</xdr:row>
                    <xdr:rowOff>209550</xdr:rowOff>
                  </to>
                </anchor>
              </controlPr>
            </control>
          </mc:Choice>
        </mc:AlternateContent>
        <mc:AlternateContent xmlns:mc="http://schemas.openxmlformats.org/markup-compatibility/2006">
          <mc:Choice Requires="x14">
            <control shapeId="62469" r:id="rId6" name="Check Box 5">
              <controlPr locked="0" defaultSize="0" autoFill="0" autoLine="0" autoPict="0">
                <anchor moveWithCells="1">
                  <from>
                    <xdr:col>2</xdr:col>
                    <xdr:colOff>514350</xdr:colOff>
                    <xdr:row>4</xdr:row>
                    <xdr:rowOff>180975</xdr:rowOff>
                  </from>
                  <to>
                    <xdr:col>5</xdr:col>
                    <xdr:colOff>238125</xdr:colOff>
                    <xdr:row>5</xdr:row>
                    <xdr:rowOff>209550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11"/>
    <pageSetUpPr fitToPage="1"/>
  </sheetPr>
  <dimension ref="A1:V49"/>
  <sheetViews>
    <sheetView zoomScaleNormal="100" workbookViewId="0">
      <selection activeCell="O21" sqref="O21"/>
    </sheetView>
  </sheetViews>
  <sheetFormatPr defaultColWidth="9.140625" defaultRowHeight="12.75"/>
  <cols>
    <col min="1" max="1" width="4.5703125" style="1" customWidth="1"/>
    <col min="2" max="2" width="15.28515625" style="1" customWidth="1"/>
    <col min="3" max="3" width="8" style="1" customWidth="1"/>
    <col min="4" max="5" width="8.7109375" style="6" customWidth="1"/>
    <col min="6" max="6" width="12.5703125" style="1" customWidth="1"/>
    <col min="7" max="7" width="6.7109375" style="1" customWidth="1"/>
    <col min="8" max="8" width="12.7109375" style="11" customWidth="1"/>
    <col min="9" max="10" width="12.7109375" style="1" customWidth="1"/>
    <col min="11" max="12" width="3.7109375" style="1" customWidth="1"/>
    <col min="13" max="16384" width="9.140625" style="1"/>
  </cols>
  <sheetData>
    <row r="1" spans="1:15" ht="18" customHeight="1">
      <c r="A1" s="574"/>
      <c r="B1" s="575"/>
      <c r="C1" s="968" t="s">
        <v>872</v>
      </c>
      <c r="D1" s="658"/>
      <c r="E1" s="658"/>
      <c r="F1" s="658"/>
      <c r="G1" s="658"/>
      <c r="H1" s="658"/>
      <c r="I1" s="658"/>
      <c r="J1" s="658"/>
      <c r="K1" s="658"/>
      <c r="L1" s="659"/>
    </row>
    <row r="2" spans="1:15" ht="64.5" customHeight="1" thickBot="1">
      <c r="A2" s="572"/>
      <c r="B2" s="573"/>
      <c r="C2" s="661"/>
      <c r="D2" s="661"/>
      <c r="E2" s="661"/>
      <c r="F2" s="661"/>
      <c r="G2" s="661"/>
      <c r="H2" s="661"/>
      <c r="I2" s="661"/>
      <c r="J2" s="661"/>
      <c r="K2" s="661"/>
      <c r="L2" s="662"/>
    </row>
    <row r="3" spans="1:15" ht="12" customHeight="1">
      <c r="A3" s="76" t="s">
        <v>138</v>
      </c>
      <c r="B3" s="77"/>
      <c r="C3" s="809" t="str">
        <f>INTRO!D36</f>
        <v>SUPPLIER COMPANY</v>
      </c>
      <c r="D3" s="809"/>
      <c r="E3" s="809"/>
      <c r="F3" s="809"/>
      <c r="G3" s="809"/>
      <c r="H3" s="49" t="s">
        <v>18</v>
      </c>
      <c r="I3" s="817" t="str">
        <f>INTRO!$D$29</f>
        <v>P-NUMBER</v>
      </c>
      <c r="J3" s="817"/>
      <c r="K3" s="817"/>
      <c r="L3" s="818"/>
      <c r="N3" s="12"/>
      <c r="O3" s="3"/>
    </row>
    <row r="4" spans="1:15" ht="13.5" thickBot="1">
      <c r="A4" s="79" t="s">
        <v>152</v>
      </c>
      <c r="B4" s="78"/>
      <c r="C4" s="810" t="str">
        <f>INTRO!D37</f>
        <v>NUMBER</v>
      </c>
      <c r="D4" s="810"/>
      <c r="E4" s="810"/>
      <c r="F4" s="810"/>
      <c r="G4" s="810"/>
      <c r="H4" s="74" t="s">
        <v>140</v>
      </c>
      <c r="I4" s="815" t="str">
        <f>INTRO!$D$28</f>
        <v>NAME</v>
      </c>
      <c r="J4" s="815"/>
      <c r="K4" s="815"/>
      <c r="L4" s="816"/>
      <c r="N4" s="4"/>
      <c r="O4" s="4"/>
    </row>
    <row r="5" spans="1:15" s="4" customFormat="1" ht="13.5" thickBot="1">
      <c r="A5" s="75"/>
      <c r="B5" s="3"/>
      <c r="C5" s="82"/>
      <c r="D5" s="82"/>
      <c r="E5" s="82"/>
      <c r="F5" s="82"/>
      <c r="G5" s="82"/>
      <c r="H5" s="75"/>
      <c r="I5" s="83"/>
      <c r="J5" s="83"/>
      <c r="K5" s="83"/>
      <c r="L5" s="83"/>
    </row>
    <row r="6" spans="1:15" ht="12.75" customHeight="1">
      <c r="A6" s="828" t="s">
        <v>795</v>
      </c>
      <c r="B6" s="829"/>
      <c r="C6" s="829"/>
      <c r="D6" s="819"/>
      <c r="E6" s="819"/>
      <c r="F6" s="819"/>
      <c r="G6" s="820"/>
      <c r="H6" s="829" t="s">
        <v>137</v>
      </c>
      <c r="I6" s="829"/>
      <c r="J6" s="829"/>
      <c r="K6" s="826" t="str">
        <f>INTRO!D31</f>
        <v>ECN</v>
      </c>
      <c r="L6" s="827"/>
      <c r="N6" s="12"/>
      <c r="O6" s="3"/>
    </row>
    <row r="7" spans="1:15" ht="13.5" thickBot="1">
      <c r="A7" s="178" t="s">
        <v>17</v>
      </c>
      <c r="B7" s="822"/>
      <c r="C7" s="835"/>
      <c r="D7" s="835"/>
      <c r="E7" s="835"/>
      <c r="F7" s="835"/>
      <c r="G7" s="836"/>
      <c r="H7" s="821" t="s">
        <v>141</v>
      </c>
      <c r="I7" s="821"/>
      <c r="J7" s="821"/>
      <c r="K7" s="822"/>
      <c r="L7" s="823"/>
    </row>
    <row r="8" spans="1:15" ht="5.25" customHeight="1">
      <c r="A8" s="497"/>
      <c r="B8" s="104"/>
      <c r="C8" s="104"/>
      <c r="D8" s="104"/>
      <c r="E8" s="104"/>
      <c r="F8" s="104"/>
      <c r="G8" s="104"/>
      <c r="H8" s="73"/>
      <c r="I8" s="73"/>
      <c r="J8" s="73"/>
      <c r="K8" s="104"/>
      <c r="L8" s="104"/>
    </row>
    <row r="9" spans="1:15">
      <c r="A9" s="12" t="s">
        <v>4</v>
      </c>
      <c r="B9" s="104"/>
      <c r="C9" s="104"/>
      <c r="D9" s="104"/>
      <c r="E9" s="104"/>
      <c r="F9" s="104"/>
      <c r="G9" s="104"/>
      <c r="H9" s="73"/>
      <c r="I9" s="73"/>
      <c r="J9" s="73"/>
      <c r="K9" s="104"/>
      <c r="L9" s="104"/>
    </row>
    <row r="10" spans="1:15" ht="6.75" customHeight="1" thickBot="1">
      <c r="A10" s="75"/>
      <c r="B10" s="75"/>
      <c r="C10" s="75"/>
      <c r="D10" s="104"/>
      <c r="E10" s="104"/>
      <c r="F10" s="75"/>
      <c r="G10" s="75"/>
      <c r="H10" s="75"/>
      <c r="I10" s="75"/>
      <c r="J10" s="75"/>
      <c r="K10" s="75"/>
      <c r="L10" s="4"/>
    </row>
    <row r="11" spans="1:15" ht="18.75" customHeight="1" thickBot="1">
      <c r="A11" s="956" t="s">
        <v>3</v>
      </c>
      <c r="B11" s="957"/>
      <c r="C11" s="957"/>
      <c r="D11" s="957"/>
      <c r="E11" s="957"/>
      <c r="F11" s="957"/>
      <c r="G11" s="957"/>
      <c r="H11" s="957"/>
      <c r="I11" s="957"/>
      <c r="J11" s="957"/>
      <c r="K11" s="957"/>
      <c r="L11" s="958"/>
    </row>
    <row r="12" spans="1:15" s="13" customFormat="1">
      <c r="A12" s="959"/>
      <c r="B12" s="960"/>
      <c r="C12" s="960"/>
      <c r="D12" s="960"/>
      <c r="E12" s="960"/>
      <c r="F12" s="960"/>
      <c r="G12" s="960"/>
      <c r="H12" s="960"/>
      <c r="I12" s="960"/>
      <c r="J12" s="960"/>
      <c r="K12" s="960"/>
      <c r="L12" s="961"/>
    </row>
    <row r="13" spans="1:15" s="20" customFormat="1" ht="15">
      <c r="A13" s="962"/>
      <c r="B13" s="963"/>
      <c r="C13" s="963"/>
      <c r="D13" s="963"/>
      <c r="E13" s="963"/>
      <c r="F13" s="963"/>
      <c r="G13" s="963"/>
      <c r="H13" s="963"/>
      <c r="I13" s="963"/>
      <c r="J13" s="963"/>
      <c r="K13" s="963"/>
      <c r="L13" s="964"/>
    </row>
    <row r="14" spans="1:15" s="20" customFormat="1" ht="15">
      <c r="A14" s="962"/>
      <c r="B14" s="963"/>
      <c r="C14" s="963"/>
      <c r="D14" s="963"/>
      <c r="E14" s="963"/>
      <c r="F14" s="963"/>
      <c r="G14" s="963"/>
      <c r="H14" s="963"/>
      <c r="I14" s="963"/>
      <c r="J14" s="963"/>
      <c r="K14" s="963"/>
      <c r="L14" s="964"/>
    </row>
    <row r="15" spans="1:15" s="20" customFormat="1" ht="15">
      <c r="A15" s="962"/>
      <c r="B15" s="963"/>
      <c r="C15" s="963"/>
      <c r="D15" s="963"/>
      <c r="E15" s="963"/>
      <c r="F15" s="963"/>
      <c r="G15" s="963"/>
      <c r="H15" s="963"/>
      <c r="I15" s="963"/>
      <c r="J15" s="963"/>
      <c r="K15" s="963"/>
      <c r="L15" s="964"/>
    </row>
    <row r="16" spans="1:15" s="20" customFormat="1" ht="15">
      <c r="A16" s="962"/>
      <c r="B16" s="963"/>
      <c r="C16" s="963"/>
      <c r="D16" s="963"/>
      <c r="E16" s="963"/>
      <c r="F16" s="963"/>
      <c r="G16" s="963"/>
      <c r="H16" s="963"/>
      <c r="I16" s="963"/>
      <c r="J16" s="963"/>
      <c r="K16" s="963"/>
      <c r="L16" s="964"/>
    </row>
    <row r="17" spans="1:12" s="20" customFormat="1" ht="15">
      <c r="A17" s="962"/>
      <c r="B17" s="963"/>
      <c r="C17" s="963"/>
      <c r="D17" s="963"/>
      <c r="E17" s="963"/>
      <c r="F17" s="963"/>
      <c r="G17" s="963"/>
      <c r="H17" s="963"/>
      <c r="I17" s="963"/>
      <c r="J17" s="963"/>
      <c r="K17" s="963"/>
      <c r="L17" s="964"/>
    </row>
    <row r="18" spans="1:12" s="20" customFormat="1" ht="15">
      <c r="A18" s="962"/>
      <c r="B18" s="963"/>
      <c r="C18" s="963"/>
      <c r="D18" s="963"/>
      <c r="E18" s="963"/>
      <c r="F18" s="963"/>
      <c r="G18" s="963"/>
      <c r="H18" s="963"/>
      <c r="I18" s="963"/>
      <c r="J18" s="963"/>
      <c r="K18" s="963"/>
      <c r="L18" s="964"/>
    </row>
    <row r="19" spans="1:12" s="20" customFormat="1" ht="15">
      <c r="A19" s="962"/>
      <c r="B19" s="963"/>
      <c r="C19" s="963"/>
      <c r="D19" s="963"/>
      <c r="E19" s="963"/>
      <c r="F19" s="963"/>
      <c r="G19" s="963"/>
      <c r="H19" s="963"/>
      <c r="I19" s="963"/>
      <c r="J19" s="963"/>
      <c r="K19" s="963"/>
      <c r="L19" s="964"/>
    </row>
    <row r="20" spans="1:12" s="20" customFormat="1" ht="15">
      <c r="A20" s="962"/>
      <c r="B20" s="963"/>
      <c r="C20" s="963"/>
      <c r="D20" s="963"/>
      <c r="E20" s="963"/>
      <c r="F20" s="963"/>
      <c r="G20" s="963"/>
      <c r="H20" s="963"/>
      <c r="I20" s="963"/>
      <c r="J20" s="963"/>
      <c r="K20" s="963"/>
      <c r="L20" s="964"/>
    </row>
    <row r="21" spans="1:12" s="20" customFormat="1" ht="15">
      <c r="A21" s="962"/>
      <c r="B21" s="963"/>
      <c r="C21" s="963"/>
      <c r="D21" s="963"/>
      <c r="E21" s="963"/>
      <c r="F21" s="963"/>
      <c r="G21" s="963"/>
      <c r="H21" s="963"/>
      <c r="I21" s="963"/>
      <c r="J21" s="963"/>
      <c r="K21" s="963"/>
      <c r="L21" s="964"/>
    </row>
    <row r="22" spans="1:12" s="20" customFormat="1" ht="15">
      <c r="A22" s="962"/>
      <c r="B22" s="963"/>
      <c r="C22" s="963"/>
      <c r="D22" s="963"/>
      <c r="E22" s="963"/>
      <c r="F22" s="963"/>
      <c r="G22" s="963"/>
      <c r="H22" s="963"/>
      <c r="I22" s="963"/>
      <c r="J22" s="963"/>
      <c r="K22" s="963"/>
      <c r="L22" s="964"/>
    </row>
    <row r="23" spans="1:12" s="20" customFormat="1" ht="15">
      <c r="A23" s="962"/>
      <c r="B23" s="963"/>
      <c r="C23" s="963"/>
      <c r="D23" s="963"/>
      <c r="E23" s="963"/>
      <c r="F23" s="963"/>
      <c r="G23" s="963"/>
      <c r="H23" s="963"/>
      <c r="I23" s="963"/>
      <c r="J23" s="963"/>
      <c r="K23" s="963"/>
      <c r="L23" s="964"/>
    </row>
    <row r="24" spans="1:12" s="20" customFormat="1" ht="15">
      <c r="A24" s="962"/>
      <c r="B24" s="963"/>
      <c r="C24" s="963"/>
      <c r="D24" s="963"/>
      <c r="E24" s="963"/>
      <c r="F24" s="963"/>
      <c r="G24" s="963"/>
      <c r="H24" s="963"/>
      <c r="I24" s="963"/>
      <c r="J24" s="963"/>
      <c r="K24" s="963"/>
      <c r="L24" s="964"/>
    </row>
    <row r="25" spans="1:12" s="20" customFormat="1" ht="15">
      <c r="A25" s="962"/>
      <c r="B25" s="963"/>
      <c r="C25" s="963"/>
      <c r="D25" s="963"/>
      <c r="E25" s="963"/>
      <c r="F25" s="963"/>
      <c r="G25" s="963"/>
      <c r="H25" s="963"/>
      <c r="I25" s="963"/>
      <c r="J25" s="963"/>
      <c r="K25" s="963"/>
      <c r="L25" s="964"/>
    </row>
    <row r="26" spans="1:12" s="20" customFormat="1" ht="15">
      <c r="A26" s="962"/>
      <c r="B26" s="963"/>
      <c r="C26" s="963"/>
      <c r="D26" s="963"/>
      <c r="E26" s="963"/>
      <c r="F26" s="963"/>
      <c r="G26" s="963"/>
      <c r="H26" s="963"/>
      <c r="I26" s="963"/>
      <c r="J26" s="963"/>
      <c r="K26" s="963"/>
      <c r="L26" s="964"/>
    </row>
    <row r="27" spans="1:12" s="20" customFormat="1" ht="15">
      <c r="A27" s="962"/>
      <c r="B27" s="963"/>
      <c r="C27" s="963"/>
      <c r="D27" s="963"/>
      <c r="E27" s="963"/>
      <c r="F27" s="963"/>
      <c r="G27" s="963"/>
      <c r="H27" s="963"/>
      <c r="I27" s="963"/>
      <c r="J27" s="963"/>
      <c r="K27" s="963"/>
      <c r="L27" s="964"/>
    </row>
    <row r="28" spans="1:12" s="20" customFormat="1" ht="15">
      <c r="A28" s="962"/>
      <c r="B28" s="963"/>
      <c r="C28" s="963"/>
      <c r="D28" s="963"/>
      <c r="E28" s="963"/>
      <c r="F28" s="963"/>
      <c r="G28" s="963"/>
      <c r="H28" s="963"/>
      <c r="I28" s="963"/>
      <c r="J28" s="963"/>
      <c r="K28" s="963"/>
      <c r="L28" s="964"/>
    </row>
    <row r="29" spans="1:12" s="20" customFormat="1" ht="15">
      <c r="A29" s="962"/>
      <c r="B29" s="963"/>
      <c r="C29" s="963"/>
      <c r="D29" s="963"/>
      <c r="E29" s="963"/>
      <c r="F29" s="963"/>
      <c r="G29" s="963"/>
      <c r="H29" s="963"/>
      <c r="I29" s="963"/>
      <c r="J29" s="963"/>
      <c r="K29" s="963"/>
      <c r="L29" s="964"/>
    </row>
    <row r="30" spans="1:12" s="20" customFormat="1" ht="15">
      <c r="A30" s="962"/>
      <c r="B30" s="963"/>
      <c r="C30" s="963"/>
      <c r="D30" s="963"/>
      <c r="E30" s="963"/>
      <c r="F30" s="963"/>
      <c r="G30" s="963"/>
      <c r="H30" s="963"/>
      <c r="I30" s="963"/>
      <c r="J30" s="963"/>
      <c r="K30" s="963"/>
      <c r="L30" s="964"/>
    </row>
    <row r="31" spans="1:12" s="20" customFormat="1" ht="15">
      <c r="A31" s="962"/>
      <c r="B31" s="963"/>
      <c r="C31" s="963"/>
      <c r="D31" s="963"/>
      <c r="E31" s="963"/>
      <c r="F31" s="963"/>
      <c r="G31" s="963"/>
      <c r="H31" s="963"/>
      <c r="I31" s="963"/>
      <c r="J31" s="963"/>
      <c r="K31" s="963"/>
      <c r="L31" s="964"/>
    </row>
    <row r="32" spans="1:12" s="20" customFormat="1" ht="15">
      <c r="A32" s="962"/>
      <c r="B32" s="963"/>
      <c r="C32" s="963"/>
      <c r="D32" s="963"/>
      <c r="E32" s="963"/>
      <c r="F32" s="963"/>
      <c r="G32" s="963"/>
      <c r="H32" s="963"/>
      <c r="I32" s="963"/>
      <c r="J32" s="963"/>
      <c r="K32" s="963"/>
      <c r="L32" s="964"/>
    </row>
    <row r="33" spans="1:12" s="20" customFormat="1" ht="15">
      <c r="A33" s="962"/>
      <c r="B33" s="963"/>
      <c r="C33" s="963"/>
      <c r="D33" s="963"/>
      <c r="E33" s="963"/>
      <c r="F33" s="963"/>
      <c r="G33" s="963"/>
      <c r="H33" s="963"/>
      <c r="I33" s="963"/>
      <c r="J33" s="963"/>
      <c r="K33" s="963"/>
      <c r="L33" s="964"/>
    </row>
    <row r="34" spans="1:12" s="20" customFormat="1" ht="15">
      <c r="A34" s="962"/>
      <c r="B34" s="963"/>
      <c r="C34" s="963"/>
      <c r="D34" s="963"/>
      <c r="E34" s="963"/>
      <c r="F34" s="963"/>
      <c r="G34" s="963"/>
      <c r="H34" s="963"/>
      <c r="I34" s="963"/>
      <c r="J34" s="963"/>
      <c r="K34" s="963"/>
      <c r="L34" s="964"/>
    </row>
    <row r="35" spans="1:12" s="20" customFormat="1" ht="15">
      <c r="A35" s="962"/>
      <c r="B35" s="963"/>
      <c r="C35" s="963"/>
      <c r="D35" s="963"/>
      <c r="E35" s="963"/>
      <c r="F35" s="963"/>
      <c r="G35" s="963"/>
      <c r="H35" s="963"/>
      <c r="I35" s="963"/>
      <c r="J35" s="963"/>
      <c r="K35" s="963"/>
      <c r="L35" s="964"/>
    </row>
    <row r="36" spans="1:12" s="20" customFormat="1" ht="15">
      <c r="A36" s="962"/>
      <c r="B36" s="963"/>
      <c r="C36" s="963"/>
      <c r="D36" s="963"/>
      <c r="E36" s="963"/>
      <c r="F36" s="963"/>
      <c r="G36" s="963"/>
      <c r="H36" s="963"/>
      <c r="I36" s="963"/>
      <c r="J36" s="963"/>
      <c r="K36" s="963"/>
      <c r="L36" s="964"/>
    </row>
    <row r="37" spans="1:12" s="20" customFormat="1" ht="15">
      <c r="A37" s="962"/>
      <c r="B37" s="963"/>
      <c r="C37" s="963"/>
      <c r="D37" s="963"/>
      <c r="E37" s="963"/>
      <c r="F37" s="963"/>
      <c r="G37" s="963"/>
      <c r="H37" s="963"/>
      <c r="I37" s="963"/>
      <c r="J37" s="963"/>
      <c r="K37" s="963"/>
      <c r="L37" s="964"/>
    </row>
    <row r="38" spans="1:12" s="20" customFormat="1" ht="15">
      <c r="A38" s="962"/>
      <c r="B38" s="963"/>
      <c r="C38" s="963"/>
      <c r="D38" s="963"/>
      <c r="E38" s="963"/>
      <c r="F38" s="963"/>
      <c r="G38" s="963"/>
      <c r="H38" s="963"/>
      <c r="I38" s="963"/>
      <c r="J38" s="963"/>
      <c r="K38" s="963"/>
      <c r="L38" s="964"/>
    </row>
    <row r="39" spans="1:12" s="20" customFormat="1" ht="15">
      <c r="A39" s="962"/>
      <c r="B39" s="963"/>
      <c r="C39" s="963"/>
      <c r="D39" s="963"/>
      <c r="E39" s="963"/>
      <c r="F39" s="963"/>
      <c r="G39" s="963"/>
      <c r="H39" s="963"/>
      <c r="I39" s="963"/>
      <c r="J39" s="963"/>
      <c r="K39" s="963"/>
      <c r="L39" s="964"/>
    </row>
    <row r="40" spans="1:12" s="20" customFormat="1" ht="15">
      <c r="A40" s="962"/>
      <c r="B40" s="963"/>
      <c r="C40" s="963"/>
      <c r="D40" s="963"/>
      <c r="E40" s="963"/>
      <c r="F40" s="963"/>
      <c r="G40" s="963"/>
      <c r="H40" s="963"/>
      <c r="I40" s="963"/>
      <c r="J40" s="963"/>
      <c r="K40" s="963"/>
      <c r="L40" s="964"/>
    </row>
    <row r="41" spans="1:12" s="20" customFormat="1" ht="15">
      <c r="A41" s="962"/>
      <c r="B41" s="963"/>
      <c r="C41" s="963"/>
      <c r="D41" s="963"/>
      <c r="E41" s="963"/>
      <c r="F41" s="963"/>
      <c r="G41" s="963"/>
      <c r="H41" s="963"/>
      <c r="I41" s="963"/>
      <c r="J41" s="963"/>
      <c r="K41" s="963"/>
      <c r="L41" s="964"/>
    </row>
    <row r="42" spans="1:12" s="20" customFormat="1" ht="15">
      <c r="A42" s="962"/>
      <c r="B42" s="963"/>
      <c r="C42" s="963"/>
      <c r="D42" s="963"/>
      <c r="E42" s="963"/>
      <c r="F42" s="963"/>
      <c r="G42" s="963"/>
      <c r="H42" s="963"/>
      <c r="I42" s="963"/>
      <c r="J42" s="963"/>
      <c r="K42" s="963"/>
      <c r="L42" s="964"/>
    </row>
    <row r="43" spans="1:12" s="20" customFormat="1" ht="15">
      <c r="A43" s="962"/>
      <c r="B43" s="963"/>
      <c r="C43" s="963"/>
      <c r="D43" s="963"/>
      <c r="E43" s="963"/>
      <c r="F43" s="963"/>
      <c r="G43" s="963"/>
      <c r="H43" s="963"/>
      <c r="I43" s="963"/>
      <c r="J43" s="963"/>
      <c r="K43" s="963"/>
      <c r="L43" s="964"/>
    </row>
    <row r="44" spans="1:12" s="20" customFormat="1" ht="15">
      <c r="A44" s="962"/>
      <c r="B44" s="963"/>
      <c r="C44" s="963"/>
      <c r="D44" s="963"/>
      <c r="E44" s="963"/>
      <c r="F44" s="963"/>
      <c r="G44" s="963"/>
      <c r="H44" s="963"/>
      <c r="I44" s="963"/>
      <c r="J44" s="963"/>
      <c r="K44" s="963"/>
      <c r="L44" s="964"/>
    </row>
    <row r="45" spans="1:12" s="20" customFormat="1" ht="15.75" thickBot="1">
      <c r="A45" s="965"/>
      <c r="B45" s="966"/>
      <c r="C45" s="966"/>
      <c r="D45" s="966"/>
      <c r="E45" s="966"/>
      <c r="F45" s="966"/>
      <c r="G45" s="966"/>
      <c r="H45" s="966"/>
      <c r="I45" s="966"/>
      <c r="J45" s="966"/>
      <c r="K45" s="966"/>
      <c r="L45" s="967"/>
    </row>
    <row r="46" spans="1:12">
      <c r="D46" s="1"/>
      <c r="E46" s="4"/>
      <c r="F46" s="4"/>
      <c r="H46" s="1"/>
    </row>
    <row r="47" spans="1:12" ht="9.75" customHeight="1">
      <c r="B47" s="842" t="s">
        <v>149</v>
      </c>
      <c r="C47" s="843"/>
      <c r="D47" s="844" t="s">
        <v>15</v>
      </c>
      <c r="E47" s="844"/>
      <c r="F47" s="844"/>
      <c r="G47" s="844" t="s">
        <v>74</v>
      </c>
      <c r="H47" s="844"/>
      <c r="I47" s="844"/>
      <c r="J47" s="844" t="s">
        <v>16</v>
      </c>
      <c r="K47" s="845"/>
    </row>
    <row r="48" spans="1:12" ht="20.25" customHeight="1">
      <c r="B48" s="837"/>
      <c r="C48" s="838"/>
      <c r="D48" s="839"/>
      <c r="E48" s="839"/>
      <c r="F48" s="839"/>
      <c r="G48" s="839"/>
      <c r="H48" s="839"/>
      <c r="I48" s="839"/>
      <c r="J48" s="840"/>
      <c r="K48" s="841"/>
    </row>
    <row r="49" spans="1:22" s="8" customFormat="1" ht="9">
      <c r="A49" s="7"/>
      <c r="B49" s="7"/>
      <c r="C49" s="9"/>
      <c r="D49" s="107"/>
      <c r="E49" s="107"/>
      <c r="F49" s="26"/>
      <c r="G49" s="7"/>
      <c r="H49" s="27"/>
      <c r="I49" s="7"/>
      <c r="J49" s="7"/>
      <c r="K49" s="7"/>
      <c r="L49" s="28"/>
      <c r="M49" s="7"/>
      <c r="N49" s="7"/>
      <c r="O49" s="7"/>
      <c r="P49" s="7"/>
      <c r="Q49" s="7"/>
      <c r="R49" s="7"/>
      <c r="S49" s="7"/>
      <c r="T49" s="7"/>
      <c r="U49" s="7"/>
      <c r="V49" s="7"/>
    </row>
  </sheetData>
  <mergeCells count="22">
    <mergeCell ref="C1:L2"/>
    <mergeCell ref="B7:G7"/>
    <mergeCell ref="I4:L4"/>
    <mergeCell ref="I3:L3"/>
    <mergeCell ref="D6:G6"/>
    <mergeCell ref="H7:J7"/>
    <mergeCell ref="K7:L7"/>
    <mergeCell ref="K6:L6"/>
    <mergeCell ref="A6:C6"/>
    <mergeCell ref="C3:G3"/>
    <mergeCell ref="J47:K47"/>
    <mergeCell ref="D48:F48"/>
    <mergeCell ref="C4:G4"/>
    <mergeCell ref="A11:L11"/>
    <mergeCell ref="A12:L45"/>
    <mergeCell ref="H6:J6"/>
    <mergeCell ref="B48:C48"/>
    <mergeCell ref="G48:I48"/>
    <mergeCell ref="J48:K48"/>
    <mergeCell ref="B47:C47"/>
    <mergeCell ref="D47:F47"/>
    <mergeCell ref="G47:I47"/>
  </mergeCells>
  <phoneticPr fontId="0" type="noConversion"/>
  <printOptions horizontalCentered="1" verticalCentered="1"/>
  <pageMargins left="0.25" right="0.25" top="0.41" bottom="0.8125" header="0.17" footer="0.16"/>
  <pageSetup scale="94" fitToHeight="27" orientation="portrait" r:id="rId1"/>
  <headerFooter alignWithMargins="0">
    <oddFooter xml:space="preserve">&amp;L&amp;6&amp;Z&amp;F&amp;CQAI_6012 AAR Mobility PPAP Workbook
</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DH69"/>
  <sheetViews>
    <sheetView topLeftCell="C1" zoomScale="75" zoomScaleNormal="75" zoomScaleSheetLayoutView="75" workbookViewId="0">
      <selection activeCell="O21" sqref="O21"/>
    </sheetView>
  </sheetViews>
  <sheetFormatPr defaultColWidth="6.28515625" defaultRowHeight="12.75"/>
  <cols>
    <col min="1" max="1" width="0.85546875" style="1" customWidth="1"/>
    <col min="2" max="2" width="13.140625" style="1" customWidth="1"/>
    <col min="3" max="3" width="13.28515625" style="1" customWidth="1"/>
    <col min="4" max="4" width="6.28515625" style="1" hidden="1" customWidth="1"/>
    <col min="5" max="5" width="11.7109375" style="1" customWidth="1"/>
    <col min="6" max="32" width="6.85546875" style="1" customWidth="1"/>
    <col min="33" max="44" width="6.85546875" style="4" customWidth="1"/>
    <col min="45" max="105" width="6.85546875" style="1" customWidth="1"/>
    <col min="106" max="16384" width="6.28515625" style="1"/>
  </cols>
  <sheetData>
    <row r="1" spans="1:112">
      <c r="A1" s="502"/>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c r="BG1" s="503"/>
      <c r="BH1" s="503"/>
      <c r="BI1" s="503"/>
      <c r="BJ1" s="503"/>
      <c r="BK1" s="503"/>
      <c r="BL1" s="503"/>
      <c r="BM1" s="503"/>
      <c r="BN1" s="503"/>
      <c r="BO1" s="503"/>
      <c r="BP1" s="503"/>
      <c r="BQ1" s="503"/>
      <c r="BR1" s="503"/>
      <c r="BS1" s="503"/>
      <c r="BT1" s="503"/>
      <c r="BU1" s="503"/>
      <c r="BV1" s="503"/>
      <c r="BW1" s="503"/>
      <c r="BX1" s="503"/>
      <c r="BY1" s="503"/>
      <c r="BZ1" s="503"/>
      <c r="CA1" s="503"/>
      <c r="CB1" s="503"/>
      <c r="CC1" s="503"/>
      <c r="CD1" s="503"/>
      <c r="CE1" s="503"/>
      <c r="CF1" s="503"/>
      <c r="CG1" s="503"/>
      <c r="CH1" s="503"/>
      <c r="CI1" s="503"/>
      <c r="CJ1" s="503"/>
      <c r="CK1" s="503"/>
      <c r="CL1" s="503"/>
      <c r="CM1" s="503"/>
      <c r="CN1" s="503"/>
      <c r="CO1" s="503"/>
      <c r="CP1" s="503"/>
      <c r="CQ1" s="503"/>
      <c r="CR1" s="503"/>
      <c r="CS1" s="503"/>
      <c r="CT1" s="503"/>
      <c r="CU1" s="503"/>
      <c r="CV1" s="503"/>
      <c r="CW1" s="503"/>
      <c r="CX1" s="503"/>
      <c r="CY1" s="503"/>
      <c r="CZ1" s="503"/>
      <c r="DA1" s="503"/>
      <c r="DB1" s="503"/>
      <c r="DC1" s="504"/>
      <c r="DD1" s="4"/>
      <c r="DE1" s="4"/>
      <c r="DF1" s="4"/>
      <c r="DG1" s="4"/>
      <c r="DH1" s="4"/>
    </row>
    <row r="2" spans="1:112" ht="49.5" customHeight="1">
      <c r="A2" s="505"/>
      <c r="B2" s="506"/>
      <c r="C2" s="506"/>
      <c r="D2" s="506"/>
      <c r="E2" s="506"/>
      <c r="F2" s="506"/>
      <c r="G2" s="507"/>
      <c r="H2" s="506"/>
      <c r="I2" s="506"/>
      <c r="J2" s="991" t="s">
        <v>796</v>
      </c>
      <c r="K2" s="991"/>
      <c r="L2" s="991"/>
      <c r="M2" s="991"/>
      <c r="N2" s="991"/>
      <c r="O2" s="991"/>
      <c r="P2" s="991"/>
      <c r="Q2" s="991"/>
      <c r="R2" s="991"/>
      <c r="S2" s="991"/>
      <c r="T2" s="991"/>
      <c r="U2" s="991"/>
      <c r="V2" s="991"/>
      <c r="W2" s="991"/>
      <c r="X2" s="506"/>
      <c r="Y2" s="506"/>
      <c r="Z2" s="506"/>
      <c r="AA2" s="506"/>
      <c r="AB2" s="506"/>
      <c r="AC2" s="506"/>
      <c r="AD2" s="506"/>
      <c r="AE2" s="506"/>
      <c r="AF2" s="506"/>
      <c r="AG2" s="506"/>
      <c r="AH2" s="506"/>
      <c r="AI2" s="506"/>
      <c r="AJ2" s="506"/>
      <c r="AK2" s="506"/>
      <c r="AL2" s="506"/>
      <c r="AM2" s="506"/>
      <c r="AN2" s="506"/>
      <c r="AO2" s="506"/>
      <c r="AP2" s="506"/>
      <c r="AQ2" s="506"/>
      <c r="AR2" s="506"/>
      <c r="AS2" s="508"/>
      <c r="AT2" s="508"/>
      <c r="AU2" s="508"/>
      <c r="AV2" s="506"/>
      <c r="AW2" s="506"/>
      <c r="AX2" s="506"/>
      <c r="AY2" s="506"/>
      <c r="AZ2" s="506"/>
      <c r="BA2" s="506"/>
      <c r="BB2" s="506"/>
      <c r="BC2" s="506"/>
      <c r="BD2" s="506"/>
      <c r="BE2" s="506"/>
      <c r="BF2" s="506"/>
      <c r="BG2" s="506"/>
      <c r="BH2" s="506"/>
      <c r="BI2" s="506"/>
      <c r="BJ2" s="506"/>
      <c r="BK2" s="506"/>
      <c r="BL2" s="506"/>
      <c r="BM2" s="506"/>
      <c r="BN2" s="506"/>
      <c r="BO2" s="506"/>
      <c r="BP2" s="506"/>
      <c r="BQ2" s="506"/>
      <c r="BR2" s="506"/>
      <c r="BS2" s="506"/>
      <c r="BT2" s="506"/>
      <c r="BU2" s="506"/>
      <c r="BV2" s="506"/>
      <c r="BW2" s="506"/>
      <c r="BX2" s="506"/>
      <c r="BY2" s="506"/>
      <c r="BZ2" s="506"/>
      <c r="CA2" s="506"/>
      <c r="CB2" s="506"/>
      <c r="CC2" s="506"/>
      <c r="CD2" s="506"/>
      <c r="CE2" s="506"/>
      <c r="CF2" s="506"/>
      <c r="CG2" s="506"/>
      <c r="CH2" s="506"/>
      <c r="CI2" s="506"/>
      <c r="CJ2" s="506"/>
      <c r="CK2" s="506"/>
      <c r="CL2" s="506"/>
      <c r="CM2" s="506"/>
      <c r="CN2" s="506"/>
      <c r="CO2" s="506"/>
      <c r="CP2" s="506"/>
      <c r="CQ2" s="506"/>
      <c r="CR2" s="506"/>
      <c r="CS2" s="506"/>
      <c r="CT2" s="506"/>
      <c r="CU2" s="506"/>
      <c r="CV2" s="506"/>
      <c r="CW2" s="506"/>
      <c r="CX2" s="506"/>
      <c r="CY2" s="506"/>
      <c r="CZ2" s="506"/>
      <c r="DA2" s="506"/>
      <c r="DB2" s="506"/>
      <c r="DC2" s="509"/>
      <c r="DD2" s="4"/>
      <c r="DE2" s="4"/>
      <c r="DF2" s="4"/>
      <c r="DG2" s="4"/>
      <c r="DH2" s="4"/>
    </row>
    <row r="3" spans="1:112" ht="20.25">
      <c r="A3" s="505"/>
      <c r="B3" s="506"/>
      <c r="C3" s="506"/>
      <c r="D3" s="506"/>
      <c r="E3" s="506"/>
      <c r="F3" s="506"/>
      <c r="G3" s="506"/>
      <c r="H3" s="506"/>
      <c r="I3" s="506"/>
      <c r="J3" s="510"/>
      <c r="K3" s="510"/>
      <c r="L3" s="510"/>
      <c r="M3" s="510"/>
      <c r="N3" s="510"/>
      <c r="O3" s="510"/>
      <c r="P3" s="510"/>
      <c r="Q3" s="510"/>
      <c r="R3" s="510"/>
      <c r="S3" s="510"/>
      <c r="T3" s="510"/>
      <c r="U3" s="510"/>
      <c r="V3" s="510"/>
      <c r="W3" s="510"/>
      <c r="X3" s="506"/>
      <c r="Y3" s="506"/>
      <c r="Z3" s="506"/>
      <c r="AA3" s="506"/>
      <c r="AB3" s="506"/>
      <c r="AC3" s="506"/>
      <c r="AD3" s="506"/>
      <c r="AE3" s="506"/>
      <c r="AF3" s="506"/>
      <c r="AG3" s="506"/>
      <c r="AH3" s="506"/>
      <c r="AI3" s="506"/>
      <c r="AJ3" s="506"/>
      <c r="AK3" s="506"/>
      <c r="AL3" s="506"/>
      <c r="AM3" s="506"/>
      <c r="AN3" s="506"/>
      <c r="AO3" s="506"/>
      <c r="AP3" s="506"/>
      <c r="AQ3" s="506"/>
      <c r="AR3" s="506"/>
      <c r="AS3" s="508"/>
      <c r="AT3" s="508"/>
      <c r="AU3" s="508"/>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6"/>
      <c r="CN3" s="506"/>
      <c r="CO3" s="506"/>
      <c r="CP3" s="506"/>
      <c r="CQ3" s="506"/>
      <c r="CR3" s="506"/>
      <c r="CS3" s="506"/>
      <c r="CT3" s="506"/>
      <c r="CU3" s="506"/>
      <c r="CV3" s="506"/>
      <c r="CW3" s="506"/>
      <c r="CX3" s="506"/>
      <c r="CY3" s="506"/>
      <c r="CZ3" s="506"/>
      <c r="DA3" s="506"/>
      <c r="DB3" s="506"/>
      <c r="DC3" s="509"/>
      <c r="DD3" s="4"/>
      <c r="DE3" s="4"/>
      <c r="DF3" s="4"/>
      <c r="DG3" s="4"/>
      <c r="DH3" s="4"/>
    </row>
    <row r="4" spans="1:112" ht="13.5" thickBot="1">
      <c r="A4" s="505"/>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8"/>
      <c r="AT4" s="508"/>
      <c r="AU4" s="508"/>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6"/>
      <c r="BX4" s="506"/>
      <c r="BY4" s="506"/>
      <c r="BZ4" s="506"/>
      <c r="CA4" s="506"/>
      <c r="CB4" s="506"/>
      <c r="CC4" s="506"/>
      <c r="CD4" s="506"/>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9"/>
      <c r="DD4" s="4"/>
      <c r="DE4" s="4"/>
      <c r="DF4" s="4"/>
      <c r="DG4" s="4"/>
      <c r="DH4" s="4"/>
    </row>
    <row r="5" spans="1:112" ht="16.5" thickBot="1">
      <c r="A5" s="511"/>
      <c r="B5" s="969" t="s">
        <v>836</v>
      </c>
      <c r="C5" s="969"/>
      <c r="D5" s="969"/>
      <c r="E5" s="969"/>
      <c r="F5" s="969"/>
      <c r="G5" s="969"/>
      <c r="H5" s="969"/>
      <c r="I5" s="969"/>
      <c r="J5" s="969"/>
      <c r="K5" s="969"/>
      <c r="L5" s="969"/>
      <c r="M5" s="969" t="s">
        <v>837</v>
      </c>
      <c r="N5" s="969"/>
      <c r="O5" s="969"/>
      <c r="P5" s="969"/>
      <c r="Q5" s="969"/>
      <c r="R5" s="969"/>
      <c r="S5" s="969" t="s">
        <v>838</v>
      </c>
      <c r="T5" s="969"/>
      <c r="U5" s="969"/>
      <c r="V5" s="969"/>
      <c r="W5" s="969"/>
      <c r="X5" s="969"/>
      <c r="Y5" s="969"/>
      <c r="Z5" s="969"/>
      <c r="AA5" s="969"/>
      <c r="AB5" s="969"/>
      <c r="AC5" s="969" t="s">
        <v>839</v>
      </c>
      <c r="AD5" s="969"/>
      <c r="AE5" s="969"/>
      <c r="AF5" s="969"/>
      <c r="AG5" s="969"/>
      <c r="AH5" s="969"/>
      <c r="AI5" s="969"/>
      <c r="AJ5" s="969"/>
      <c r="AK5" s="969"/>
      <c r="AL5" s="969"/>
      <c r="AM5" s="969"/>
      <c r="AN5" s="969"/>
      <c r="AO5" s="969" t="s">
        <v>840</v>
      </c>
      <c r="AP5" s="969"/>
      <c r="AQ5" s="969"/>
      <c r="AR5" s="969"/>
      <c r="AS5" s="969"/>
      <c r="AT5" s="969"/>
      <c r="AU5" s="969"/>
      <c r="AV5" s="969"/>
      <c r="AW5" s="969"/>
      <c r="AX5" s="506"/>
      <c r="AY5" s="506"/>
      <c r="AZ5" s="506"/>
      <c r="BA5" s="506"/>
      <c r="BB5" s="506"/>
      <c r="BC5" s="506"/>
      <c r="BD5" s="506"/>
      <c r="BE5" s="506"/>
      <c r="BF5" s="506"/>
      <c r="BG5" s="506"/>
      <c r="BH5" s="506"/>
      <c r="BI5" s="506"/>
      <c r="BJ5" s="506"/>
      <c r="BK5" s="506"/>
      <c r="BL5" s="506"/>
      <c r="BM5" s="506"/>
      <c r="BN5" s="506"/>
      <c r="BO5" s="506"/>
      <c r="BP5" s="506"/>
      <c r="BQ5" s="506"/>
      <c r="BR5" s="506"/>
      <c r="BS5" s="506"/>
      <c r="BT5" s="506"/>
      <c r="BU5" s="506"/>
      <c r="BV5" s="506"/>
      <c r="BW5" s="506"/>
      <c r="BX5" s="506"/>
      <c r="BY5" s="506"/>
      <c r="BZ5" s="506"/>
      <c r="CA5" s="506"/>
      <c r="CB5" s="506"/>
      <c r="CC5" s="506"/>
      <c r="CD5" s="506"/>
      <c r="CE5" s="506"/>
      <c r="CF5" s="506"/>
      <c r="CG5" s="506"/>
      <c r="CH5" s="506"/>
      <c r="CI5" s="506"/>
      <c r="CJ5" s="506"/>
      <c r="CK5" s="506"/>
      <c r="CL5" s="506"/>
      <c r="CM5" s="506"/>
      <c r="CN5" s="506"/>
      <c r="CO5" s="506"/>
      <c r="CP5" s="506"/>
      <c r="CQ5" s="506"/>
      <c r="CR5" s="506"/>
      <c r="CS5" s="506"/>
      <c r="CT5" s="506"/>
      <c r="CU5" s="506"/>
      <c r="CV5" s="506"/>
      <c r="CW5" s="506"/>
      <c r="CX5" s="506"/>
      <c r="CY5" s="506"/>
      <c r="CZ5" s="506"/>
      <c r="DA5" s="506"/>
      <c r="DB5" s="506"/>
      <c r="DC5" s="509"/>
      <c r="DD5" s="4"/>
      <c r="DE5" s="4"/>
      <c r="DF5" s="4"/>
      <c r="DG5" s="4"/>
      <c r="DH5" s="4"/>
    </row>
    <row r="6" spans="1:112" ht="16.5" thickBot="1">
      <c r="A6" s="511"/>
      <c r="B6" s="969" t="s">
        <v>841</v>
      </c>
      <c r="C6" s="969"/>
      <c r="D6" s="969"/>
      <c r="E6" s="969"/>
      <c r="F6" s="969"/>
      <c r="G6" s="969"/>
      <c r="H6" s="969"/>
      <c r="I6" s="969"/>
      <c r="J6" s="977"/>
      <c r="K6" s="977"/>
      <c r="L6" s="977"/>
      <c r="M6" s="969" t="s">
        <v>842</v>
      </c>
      <c r="N6" s="969"/>
      <c r="O6" s="969"/>
      <c r="P6" s="969"/>
      <c r="Q6" s="969"/>
      <c r="R6" s="969"/>
      <c r="S6" s="969"/>
      <c r="T6" s="969"/>
      <c r="U6" s="969"/>
      <c r="V6" s="977"/>
      <c r="W6" s="977"/>
      <c r="X6" s="977"/>
      <c r="Y6" s="969" t="s">
        <v>843</v>
      </c>
      <c r="Z6" s="969"/>
      <c r="AA6" s="969"/>
      <c r="AB6" s="977"/>
      <c r="AC6" s="977"/>
      <c r="AD6" s="969"/>
      <c r="AE6" s="969"/>
      <c r="AF6" s="969"/>
      <c r="AG6" s="977"/>
      <c r="AH6" s="977"/>
      <c r="AI6" s="969"/>
      <c r="AJ6" s="969"/>
      <c r="AK6" s="972" t="s">
        <v>844</v>
      </c>
      <c r="AL6" s="973"/>
      <c r="AM6" s="973"/>
      <c r="AN6" s="973"/>
      <c r="AO6" s="973"/>
      <c r="AP6" s="973"/>
      <c r="AQ6" s="973"/>
      <c r="AR6" s="973"/>
      <c r="AS6" s="973"/>
      <c r="AT6" s="973"/>
      <c r="AU6" s="973"/>
      <c r="AV6" s="973"/>
      <c r="AW6" s="974"/>
      <c r="AX6" s="506"/>
      <c r="AY6" s="506"/>
      <c r="AZ6" s="506"/>
      <c r="BA6" s="506"/>
      <c r="BB6" s="506"/>
      <c r="BC6" s="506"/>
      <c r="BD6" s="506"/>
      <c r="BE6" s="506"/>
      <c r="BF6" s="506"/>
      <c r="BG6" s="506"/>
      <c r="BH6" s="506"/>
      <c r="BI6" s="506"/>
      <c r="BJ6" s="506"/>
      <c r="BK6" s="506"/>
      <c r="BL6" s="506"/>
      <c r="BM6" s="506"/>
      <c r="BN6" s="506"/>
      <c r="BO6" s="506"/>
      <c r="BP6" s="506"/>
      <c r="BQ6" s="506"/>
      <c r="BR6" s="506"/>
      <c r="BS6" s="506"/>
      <c r="BT6" s="506"/>
      <c r="BU6" s="506"/>
      <c r="BV6" s="506"/>
      <c r="BW6" s="506"/>
      <c r="BX6" s="506"/>
      <c r="BY6" s="506"/>
      <c r="BZ6" s="506"/>
      <c r="CA6" s="506"/>
      <c r="CB6" s="506"/>
      <c r="CC6" s="506"/>
      <c r="CD6" s="506"/>
      <c r="CE6" s="506"/>
      <c r="CF6" s="506"/>
      <c r="CG6" s="506"/>
      <c r="CH6" s="506"/>
      <c r="CI6" s="506"/>
      <c r="CJ6" s="506"/>
      <c r="CK6" s="506"/>
      <c r="CL6" s="506"/>
      <c r="CM6" s="506"/>
      <c r="CN6" s="506"/>
      <c r="CO6" s="506"/>
      <c r="CP6" s="506"/>
      <c r="CQ6" s="506"/>
      <c r="CR6" s="506"/>
      <c r="CS6" s="506"/>
      <c r="CT6" s="506"/>
      <c r="CU6" s="506"/>
      <c r="CV6" s="506"/>
      <c r="CW6" s="506"/>
      <c r="CX6" s="506"/>
      <c r="CY6" s="508"/>
      <c r="CZ6" s="508"/>
      <c r="DA6" s="508"/>
      <c r="DB6" s="508"/>
      <c r="DC6" s="509"/>
    </row>
    <row r="7" spans="1:112" ht="16.5" thickBot="1">
      <c r="A7" s="505"/>
      <c r="B7" s="990" t="s">
        <v>797</v>
      </c>
      <c r="C7" s="983"/>
      <c r="D7" s="983"/>
      <c r="E7" s="983"/>
      <c r="F7" s="983"/>
      <c r="G7" s="983"/>
      <c r="H7" s="983"/>
      <c r="I7" s="983"/>
      <c r="J7" s="980"/>
      <c r="K7" s="981"/>
      <c r="L7" s="982"/>
      <c r="M7" s="983" t="s">
        <v>798</v>
      </c>
      <c r="N7" s="983"/>
      <c r="O7" s="983"/>
      <c r="P7" s="983"/>
      <c r="Q7" s="983"/>
      <c r="R7" s="983"/>
      <c r="S7" s="983"/>
      <c r="T7" s="983"/>
      <c r="U7" s="983"/>
      <c r="V7" s="980"/>
      <c r="W7" s="981"/>
      <c r="X7" s="982"/>
      <c r="Y7" s="978"/>
      <c r="Z7" s="978"/>
      <c r="AA7" s="978"/>
      <c r="AB7" s="970" t="str">
        <f>IF(F46="","",SUM(Y9*6)+I9)</f>
        <v/>
      </c>
      <c r="AC7" s="971"/>
      <c r="AD7" s="978" t="s">
        <v>799</v>
      </c>
      <c r="AE7" s="978"/>
      <c r="AF7" s="978"/>
      <c r="AG7" s="970" t="str">
        <f>IF(F46="","",SUM(I9)-(Y9*6))</f>
        <v/>
      </c>
      <c r="AH7" s="971"/>
      <c r="AI7" s="975"/>
      <c r="AJ7" s="975"/>
      <c r="AK7" s="975"/>
      <c r="AL7" s="975"/>
      <c r="AM7" s="975"/>
      <c r="AN7" s="975"/>
      <c r="AO7" s="975"/>
      <c r="AP7" s="975"/>
      <c r="AQ7" s="975"/>
      <c r="AR7" s="975"/>
      <c r="AS7" s="975"/>
      <c r="AT7" s="975"/>
      <c r="AU7" s="975"/>
      <c r="AV7" s="975"/>
      <c r="AW7" s="976"/>
      <c r="AX7" s="506"/>
      <c r="AY7" s="506"/>
      <c r="AZ7" s="506"/>
      <c r="BA7" s="506"/>
      <c r="BB7" s="506"/>
      <c r="BC7" s="506"/>
      <c r="BD7" s="506"/>
      <c r="BE7" s="506"/>
      <c r="BF7" s="506"/>
      <c r="BG7" s="506"/>
      <c r="BH7" s="506"/>
      <c r="BI7" s="506"/>
      <c r="BJ7" s="506"/>
      <c r="BK7" s="506"/>
      <c r="BL7" s="506"/>
      <c r="BM7" s="506"/>
      <c r="BN7" s="506"/>
      <c r="BO7" s="506"/>
      <c r="BP7" s="506"/>
      <c r="BQ7" s="506"/>
      <c r="BR7" s="506"/>
      <c r="BS7" s="506"/>
      <c r="BT7" s="506"/>
      <c r="BU7" s="506"/>
      <c r="BV7" s="506"/>
      <c r="BW7" s="506"/>
      <c r="BX7" s="506"/>
      <c r="BY7" s="506"/>
      <c r="BZ7" s="506"/>
      <c r="CA7" s="506"/>
      <c r="CB7" s="506"/>
      <c r="CC7" s="506"/>
      <c r="CD7" s="506"/>
      <c r="CE7" s="506"/>
      <c r="CF7" s="506"/>
      <c r="CG7" s="506"/>
      <c r="CH7" s="506"/>
      <c r="CI7" s="506"/>
      <c r="CJ7" s="506"/>
      <c r="CK7" s="506"/>
      <c r="CL7" s="506"/>
      <c r="CM7" s="506"/>
      <c r="CN7" s="506"/>
      <c r="CO7" s="506"/>
      <c r="CP7" s="506"/>
      <c r="CQ7" s="506"/>
      <c r="CR7" s="508"/>
      <c r="CS7" s="508"/>
      <c r="CT7" s="508"/>
      <c r="CU7" s="508"/>
      <c r="CV7" s="508"/>
      <c r="CW7" s="508"/>
      <c r="CX7" s="508"/>
      <c r="CY7" s="508"/>
      <c r="CZ7" s="508"/>
      <c r="DA7" s="508"/>
      <c r="DB7" s="508"/>
      <c r="DC7" s="509"/>
    </row>
    <row r="8" spans="1:112" ht="12.75" hidden="1" customHeight="1">
      <c r="A8" s="505"/>
      <c r="B8" s="989" t="s">
        <v>800</v>
      </c>
      <c r="C8" s="506"/>
      <c r="D8" s="506"/>
      <c r="E8" s="506"/>
      <c r="F8" s="988" t="s">
        <v>801</v>
      </c>
      <c r="G8" s="988"/>
      <c r="H8" s="988"/>
      <c r="I8" s="514" t="e">
        <f>AVERAGE(F46:AI46)</f>
        <v>#DIV/0!</v>
      </c>
      <c r="J8" s="506"/>
      <c r="K8" s="506"/>
      <c r="L8" s="988" t="s">
        <v>802</v>
      </c>
      <c r="M8" s="988"/>
      <c r="N8" s="988"/>
      <c r="O8" s="515" t="e">
        <f>SUM(H28*2.66)+I8</f>
        <v>#DIV/0!</v>
      </c>
      <c r="P8" s="508"/>
      <c r="Q8" s="988" t="s">
        <v>803</v>
      </c>
      <c r="R8" s="988"/>
      <c r="S8" s="988"/>
      <c r="T8" s="515" t="e">
        <f>SUM(I8-(H28*2.66))</f>
        <v>#DIV/0!</v>
      </c>
      <c r="U8" s="506"/>
      <c r="V8" s="506"/>
      <c r="W8" s="516" t="s">
        <v>804</v>
      </c>
      <c r="X8" s="506"/>
      <c r="Y8" s="515" t="e">
        <f>SUM(H28/1.13)</f>
        <v>#DIV/0!</v>
      </c>
      <c r="Z8" s="506"/>
      <c r="AA8" s="516" t="s">
        <v>805</v>
      </c>
      <c r="AB8" s="517" t="e">
        <f>SUM(Y8*6)/(J7-V7)*100</f>
        <v>#DIV/0!</v>
      </c>
      <c r="AC8" s="506"/>
      <c r="AD8" s="506"/>
      <c r="AE8" s="506"/>
      <c r="AF8" s="506"/>
      <c r="AG8" s="506"/>
      <c r="AH8" s="506"/>
      <c r="AI8" s="506"/>
      <c r="AJ8" s="506"/>
      <c r="AK8" s="506"/>
      <c r="AL8" s="506"/>
      <c r="AM8" s="506"/>
      <c r="AN8" s="506"/>
      <c r="AO8" s="506"/>
      <c r="AP8" s="506"/>
      <c r="AQ8" s="506"/>
      <c r="AR8" s="506"/>
      <c r="AS8" s="508"/>
      <c r="AT8" s="508"/>
      <c r="AU8" s="508"/>
      <c r="AV8" s="506"/>
      <c r="AW8" s="506"/>
      <c r="AX8" s="506"/>
      <c r="AY8" s="506"/>
      <c r="AZ8" s="506"/>
      <c r="BA8" s="506"/>
      <c r="BB8" s="506"/>
      <c r="BC8" s="506"/>
      <c r="BD8" s="506"/>
      <c r="BE8" s="506"/>
      <c r="BF8" s="506"/>
      <c r="BG8" s="506"/>
      <c r="BH8" s="506"/>
      <c r="BI8" s="506"/>
      <c r="BJ8" s="506"/>
      <c r="BK8" s="506"/>
      <c r="BL8" s="506"/>
      <c r="BM8" s="506"/>
      <c r="BN8" s="506"/>
      <c r="BO8" s="506"/>
      <c r="BP8" s="506"/>
      <c r="BQ8" s="506"/>
      <c r="BR8" s="506"/>
      <c r="BS8" s="506"/>
      <c r="BT8" s="506"/>
      <c r="BU8" s="506"/>
      <c r="BV8" s="506"/>
      <c r="BW8" s="506"/>
      <c r="BX8" s="506"/>
      <c r="BY8" s="506"/>
      <c r="BZ8" s="506"/>
      <c r="CA8" s="506"/>
      <c r="CB8" s="506"/>
      <c r="CC8" s="506"/>
      <c r="CD8" s="506"/>
      <c r="CE8" s="506"/>
      <c r="CF8" s="506"/>
      <c r="CG8" s="506"/>
      <c r="CH8" s="506"/>
      <c r="CI8" s="506"/>
      <c r="CJ8" s="506"/>
      <c r="CK8" s="506"/>
      <c r="CL8" s="506"/>
      <c r="CM8" s="506"/>
      <c r="CN8" s="506"/>
      <c r="CO8" s="506"/>
      <c r="CP8" s="506"/>
      <c r="CQ8" s="506"/>
      <c r="CR8" s="506"/>
      <c r="CS8" s="506"/>
      <c r="CT8" s="506"/>
      <c r="CU8" s="506"/>
      <c r="CV8" s="506"/>
      <c r="CW8" s="506"/>
      <c r="CX8" s="506"/>
      <c r="CY8" s="506"/>
      <c r="CZ8" s="506"/>
      <c r="DA8" s="506"/>
      <c r="DB8" s="506"/>
      <c r="DC8" s="509"/>
      <c r="DD8" s="4"/>
      <c r="DE8" s="4"/>
      <c r="DF8" s="4"/>
      <c r="DG8" s="4"/>
      <c r="DH8" s="4"/>
    </row>
    <row r="9" spans="1:112" hidden="1">
      <c r="A9" s="505"/>
      <c r="B9" s="989"/>
      <c r="C9" s="506"/>
      <c r="D9" s="506"/>
      <c r="E9" s="506"/>
      <c r="F9" s="513"/>
      <c r="G9" s="513"/>
      <c r="H9" s="513"/>
      <c r="I9" s="514" t="e">
        <f>AVERAGE(F46:DA46)</f>
        <v>#DIV/0!</v>
      </c>
      <c r="J9" s="506"/>
      <c r="K9" s="506"/>
      <c r="L9" s="513"/>
      <c r="M9" s="513"/>
      <c r="N9" s="513"/>
      <c r="O9" s="515" t="e">
        <f>SUM(H29*2.66)+I9</f>
        <v>#DIV/0!</v>
      </c>
      <c r="P9" s="508"/>
      <c r="Q9" s="513"/>
      <c r="R9" s="513"/>
      <c r="S9" s="513"/>
      <c r="T9" s="515" t="e">
        <f>SUM(I9-(H29*2.66))</f>
        <v>#DIV/0!</v>
      </c>
      <c r="U9" s="506"/>
      <c r="V9" s="506"/>
      <c r="W9" s="516"/>
      <c r="X9" s="506"/>
      <c r="Y9" s="515" t="e">
        <f>SUM(H29/1.13)</f>
        <v>#DIV/0!</v>
      </c>
      <c r="Z9" s="506"/>
      <c r="AA9" s="516"/>
      <c r="AB9" s="517" t="e">
        <f>SUM(Y9*6)/(J7-V7)*100</f>
        <v>#DIV/0!</v>
      </c>
      <c r="AC9" s="506"/>
      <c r="AD9" s="506"/>
      <c r="AE9" s="506"/>
      <c r="AF9" s="506"/>
      <c r="AG9" s="506"/>
      <c r="AH9" s="506"/>
      <c r="AI9" s="506"/>
      <c r="AJ9" s="506"/>
      <c r="AK9" s="506"/>
      <c r="AL9" s="506"/>
      <c r="AM9" s="506"/>
      <c r="AN9" s="506"/>
      <c r="AO9" s="506"/>
      <c r="AP9" s="506"/>
      <c r="AQ9" s="506"/>
      <c r="AR9" s="506"/>
      <c r="AS9" s="508"/>
      <c r="AT9" s="508"/>
      <c r="AU9" s="508"/>
      <c r="AV9" s="506"/>
      <c r="AW9" s="506"/>
      <c r="AX9" s="506"/>
      <c r="AY9" s="506"/>
      <c r="AZ9" s="506"/>
      <c r="BA9" s="506"/>
      <c r="BB9" s="506"/>
      <c r="BC9" s="506"/>
      <c r="BD9" s="506"/>
      <c r="BE9" s="506"/>
      <c r="BF9" s="506"/>
      <c r="BG9" s="506"/>
      <c r="BH9" s="506"/>
      <c r="BI9" s="506"/>
      <c r="BJ9" s="506"/>
      <c r="BK9" s="506"/>
      <c r="BL9" s="506"/>
      <c r="BM9" s="506"/>
      <c r="BN9" s="506"/>
      <c r="BO9" s="506"/>
      <c r="BP9" s="506"/>
      <c r="BQ9" s="506"/>
      <c r="BR9" s="506"/>
      <c r="BS9" s="506"/>
      <c r="BT9" s="506"/>
      <c r="BU9" s="506"/>
      <c r="BV9" s="506"/>
      <c r="BW9" s="506"/>
      <c r="BX9" s="506"/>
      <c r="BY9" s="506"/>
      <c r="BZ9" s="506"/>
      <c r="CA9" s="506"/>
      <c r="CB9" s="506"/>
      <c r="CC9" s="506"/>
      <c r="CD9" s="506"/>
      <c r="CE9" s="506"/>
      <c r="CF9" s="506"/>
      <c r="CG9" s="506"/>
      <c r="CH9" s="506"/>
      <c r="CI9" s="506"/>
      <c r="CJ9" s="506"/>
      <c r="CK9" s="506"/>
      <c r="CL9" s="506"/>
      <c r="CM9" s="506"/>
      <c r="CN9" s="506"/>
      <c r="CO9" s="506"/>
      <c r="CP9" s="506"/>
      <c r="CQ9" s="506"/>
      <c r="CR9" s="506"/>
      <c r="CS9" s="506"/>
      <c r="CT9" s="506"/>
      <c r="CU9" s="506"/>
      <c r="CV9" s="506"/>
      <c r="CW9" s="506"/>
      <c r="CX9" s="506"/>
      <c r="CY9" s="506"/>
      <c r="CZ9" s="506"/>
      <c r="DA9" s="506"/>
      <c r="DB9" s="506"/>
      <c r="DC9" s="509"/>
      <c r="DD9" s="4"/>
      <c r="DE9" s="4"/>
      <c r="DF9" s="4"/>
      <c r="DG9" s="4"/>
      <c r="DH9" s="4"/>
    </row>
    <row r="10" spans="1:112">
      <c r="A10" s="505"/>
      <c r="B10" s="989"/>
      <c r="C10" s="506"/>
      <c r="D10" s="506"/>
      <c r="E10" s="506"/>
      <c r="F10" s="513"/>
      <c r="G10" s="513"/>
      <c r="H10" s="513"/>
      <c r="I10" s="518"/>
      <c r="J10" s="506"/>
      <c r="K10" s="506"/>
      <c r="L10" s="513"/>
      <c r="M10" s="513"/>
      <c r="N10" s="513"/>
      <c r="O10" s="519"/>
      <c r="P10" s="508"/>
      <c r="Q10" s="513"/>
      <c r="R10" s="513"/>
      <c r="S10" s="513"/>
      <c r="T10" s="519"/>
      <c r="U10" s="506"/>
      <c r="V10" s="506"/>
      <c r="W10" s="516"/>
      <c r="X10" s="506"/>
      <c r="Y10" s="519"/>
      <c r="Z10" s="506"/>
      <c r="AA10" s="516"/>
      <c r="AB10" s="520"/>
      <c r="AC10" s="506"/>
      <c r="AD10" s="506"/>
      <c r="AE10" s="506"/>
      <c r="AF10" s="506"/>
      <c r="AG10" s="506"/>
      <c r="AH10" s="506"/>
      <c r="AI10" s="506"/>
      <c r="AJ10" s="506"/>
      <c r="AK10" s="506"/>
      <c r="AL10" s="506"/>
      <c r="AM10" s="506"/>
      <c r="AN10" s="506"/>
      <c r="AO10" s="506"/>
      <c r="AP10" s="506"/>
      <c r="AQ10" s="506"/>
      <c r="AR10" s="506"/>
      <c r="AS10" s="508"/>
      <c r="AT10" s="508"/>
      <c r="AU10" s="508"/>
      <c r="AV10" s="506"/>
      <c r="AW10" s="506"/>
      <c r="AX10" s="506"/>
      <c r="AY10" s="506"/>
      <c r="AZ10" s="506"/>
      <c r="BA10" s="506"/>
      <c r="BB10" s="506"/>
      <c r="BC10" s="506"/>
      <c r="BD10" s="506"/>
      <c r="BE10" s="506"/>
      <c r="BF10" s="506"/>
      <c r="BG10" s="506"/>
      <c r="BH10" s="506"/>
      <c r="BI10" s="506"/>
      <c r="BJ10" s="506"/>
      <c r="BK10" s="506"/>
      <c r="BL10" s="506"/>
      <c r="BM10" s="506"/>
      <c r="BN10" s="506"/>
      <c r="BO10" s="506"/>
      <c r="BP10" s="506"/>
      <c r="BQ10" s="506"/>
      <c r="BR10" s="506"/>
      <c r="BS10" s="506"/>
      <c r="BT10" s="506"/>
      <c r="BU10" s="506"/>
      <c r="BV10" s="506"/>
      <c r="BW10" s="506"/>
      <c r="BX10" s="506"/>
      <c r="BY10" s="506"/>
      <c r="BZ10" s="506"/>
      <c r="CA10" s="506"/>
      <c r="CB10" s="506"/>
      <c r="CC10" s="506"/>
      <c r="CD10" s="506"/>
      <c r="CE10" s="506"/>
      <c r="CF10" s="506"/>
      <c r="CG10" s="506"/>
      <c r="CH10" s="506"/>
      <c r="CI10" s="506"/>
      <c r="CJ10" s="506"/>
      <c r="CK10" s="506"/>
      <c r="CL10" s="506"/>
      <c r="CM10" s="506"/>
      <c r="CN10" s="506"/>
      <c r="CO10" s="506"/>
      <c r="CP10" s="506"/>
      <c r="CQ10" s="506"/>
      <c r="CR10" s="506"/>
      <c r="CS10" s="506"/>
      <c r="CT10" s="506"/>
      <c r="CU10" s="506"/>
      <c r="CV10" s="506"/>
      <c r="CW10" s="506"/>
      <c r="CX10" s="506"/>
      <c r="CY10" s="506"/>
      <c r="CZ10" s="506"/>
      <c r="DA10" s="506"/>
      <c r="DB10" s="506"/>
      <c r="DC10" s="509"/>
      <c r="DD10" s="4"/>
      <c r="DE10" s="4"/>
      <c r="DF10" s="4"/>
      <c r="DG10" s="4"/>
      <c r="DH10" s="4"/>
    </row>
    <row r="11" spans="1:112">
      <c r="A11" s="505"/>
      <c r="B11" s="989"/>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8"/>
      <c r="AT11" s="508"/>
      <c r="AU11" s="508"/>
      <c r="AV11" s="506"/>
      <c r="AW11" s="506"/>
      <c r="AX11" s="506"/>
      <c r="AY11" s="506"/>
      <c r="AZ11" s="506"/>
      <c r="BA11" s="506"/>
      <c r="BB11" s="506"/>
      <c r="BC11" s="506"/>
      <c r="BD11" s="506"/>
      <c r="BE11" s="506"/>
      <c r="BF11" s="506"/>
      <c r="BG11" s="506"/>
      <c r="BH11" s="506"/>
      <c r="BI11" s="506"/>
      <c r="BJ11" s="506"/>
      <c r="BK11" s="506"/>
      <c r="BL11" s="506"/>
      <c r="BM11" s="506"/>
      <c r="BN11" s="506"/>
      <c r="BO11" s="506"/>
      <c r="BP11" s="506"/>
      <c r="BQ11" s="506"/>
      <c r="BR11" s="506"/>
      <c r="BS11" s="506"/>
      <c r="BT11" s="506"/>
      <c r="BU11" s="506"/>
      <c r="BV11" s="506"/>
      <c r="BW11" s="506"/>
      <c r="BX11" s="506"/>
      <c r="BY11" s="506"/>
      <c r="BZ11" s="506"/>
      <c r="CA11" s="506"/>
      <c r="CB11" s="506"/>
      <c r="CC11" s="506"/>
      <c r="CD11" s="506"/>
      <c r="CE11" s="506"/>
      <c r="CF11" s="506"/>
      <c r="CG11" s="506"/>
      <c r="CH11" s="506"/>
      <c r="CI11" s="506"/>
      <c r="CJ11" s="506"/>
      <c r="CK11" s="506"/>
      <c r="CL11" s="506"/>
      <c r="CM11" s="506"/>
      <c r="CN11" s="506"/>
      <c r="CO11" s="506"/>
      <c r="CP11" s="506"/>
      <c r="CQ11" s="506"/>
      <c r="CR11" s="506"/>
      <c r="CS11" s="506"/>
      <c r="CT11" s="506"/>
      <c r="CU11" s="506"/>
      <c r="CV11" s="506"/>
      <c r="CW11" s="506"/>
      <c r="CX11" s="506"/>
      <c r="CY11" s="506"/>
      <c r="CZ11" s="506"/>
      <c r="DA11" s="506"/>
      <c r="DB11" s="506"/>
      <c r="DC11" s="509"/>
      <c r="DD11" s="4"/>
      <c r="DE11" s="4"/>
      <c r="DF11" s="4"/>
      <c r="DG11" s="4"/>
      <c r="DH11" s="4"/>
    </row>
    <row r="12" spans="1:112">
      <c r="A12" s="505"/>
      <c r="B12" s="989"/>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c r="AS12" s="508"/>
      <c r="AT12" s="508"/>
      <c r="AU12" s="508"/>
      <c r="AV12" s="506"/>
      <c r="AW12" s="506"/>
      <c r="AX12" s="506"/>
      <c r="AY12" s="506"/>
      <c r="AZ12" s="506"/>
      <c r="BA12" s="506"/>
      <c r="BB12" s="506"/>
      <c r="BC12" s="506"/>
      <c r="BD12" s="506"/>
      <c r="BE12" s="506"/>
      <c r="BF12" s="506"/>
      <c r="BG12" s="506"/>
      <c r="BH12" s="506"/>
      <c r="BI12" s="506"/>
      <c r="BJ12" s="506"/>
      <c r="BK12" s="506"/>
      <c r="BL12" s="506"/>
      <c r="BM12" s="506"/>
      <c r="BN12" s="506"/>
      <c r="BO12" s="506"/>
      <c r="BP12" s="506"/>
      <c r="BQ12" s="506"/>
      <c r="BR12" s="506"/>
      <c r="BS12" s="506"/>
      <c r="BT12" s="506"/>
      <c r="BU12" s="506"/>
      <c r="BV12" s="506"/>
      <c r="BW12" s="506"/>
      <c r="BX12" s="506"/>
      <c r="BY12" s="506"/>
      <c r="BZ12" s="506"/>
      <c r="CA12" s="506"/>
      <c r="CB12" s="506"/>
      <c r="CC12" s="506"/>
      <c r="CD12" s="506"/>
      <c r="CE12" s="506"/>
      <c r="CF12" s="506"/>
      <c r="CG12" s="506"/>
      <c r="CH12" s="506"/>
      <c r="CI12" s="506"/>
      <c r="CJ12" s="506"/>
      <c r="CK12" s="506"/>
      <c r="CL12" s="506"/>
      <c r="CM12" s="506"/>
      <c r="CN12" s="506"/>
      <c r="CO12" s="506"/>
      <c r="CP12" s="506"/>
      <c r="CQ12" s="506"/>
      <c r="CR12" s="506"/>
      <c r="CS12" s="506"/>
      <c r="CT12" s="506"/>
      <c r="CU12" s="506"/>
      <c r="CV12" s="506"/>
      <c r="CW12" s="506"/>
      <c r="CX12" s="506"/>
      <c r="CY12" s="506"/>
      <c r="CZ12" s="506"/>
      <c r="DA12" s="506"/>
      <c r="DB12" s="506"/>
      <c r="DC12" s="509"/>
      <c r="DD12" s="4"/>
      <c r="DE12" s="4"/>
      <c r="DF12" s="4"/>
      <c r="DG12" s="4"/>
      <c r="DH12" s="4"/>
    </row>
    <row r="13" spans="1:112">
      <c r="A13" s="505"/>
      <c r="B13" s="989"/>
      <c r="C13" s="506"/>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506"/>
      <c r="AS13" s="508"/>
      <c r="AT13" s="508"/>
      <c r="AU13" s="508"/>
      <c r="AV13" s="506"/>
      <c r="AW13" s="506"/>
      <c r="AX13" s="506"/>
      <c r="AY13" s="506"/>
      <c r="AZ13" s="506"/>
      <c r="BA13" s="506"/>
      <c r="BB13" s="506"/>
      <c r="BC13" s="506"/>
      <c r="BD13" s="506"/>
      <c r="BE13" s="506"/>
      <c r="BF13" s="506"/>
      <c r="BG13" s="506"/>
      <c r="BH13" s="506"/>
      <c r="BI13" s="506"/>
      <c r="BJ13" s="506"/>
      <c r="BK13" s="506"/>
      <c r="BL13" s="506"/>
      <c r="BM13" s="506"/>
      <c r="BN13" s="506"/>
      <c r="BO13" s="506"/>
      <c r="BP13" s="506"/>
      <c r="BQ13" s="506"/>
      <c r="BR13" s="506"/>
      <c r="BS13" s="506"/>
      <c r="BT13" s="506"/>
      <c r="BU13" s="506"/>
      <c r="BV13" s="506"/>
      <c r="BW13" s="506"/>
      <c r="BX13" s="506"/>
      <c r="BY13" s="506"/>
      <c r="BZ13" s="506"/>
      <c r="CA13" s="506"/>
      <c r="CB13" s="506"/>
      <c r="CC13" s="506"/>
      <c r="CD13" s="506"/>
      <c r="CE13" s="506"/>
      <c r="CF13" s="506"/>
      <c r="CG13" s="506"/>
      <c r="CH13" s="506"/>
      <c r="CI13" s="506"/>
      <c r="CJ13" s="506"/>
      <c r="CK13" s="506"/>
      <c r="CL13" s="506"/>
      <c r="CM13" s="506"/>
      <c r="CN13" s="506"/>
      <c r="CO13" s="506"/>
      <c r="CP13" s="506"/>
      <c r="CQ13" s="506"/>
      <c r="CR13" s="506"/>
      <c r="CS13" s="506"/>
      <c r="CT13" s="506"/>
      <c r="CU13" s="506"/>
      <c r="CV13" s="506"/>
      <c r="CW13" s="506"/>
      <c r="CX13" s="506"/>
      <c r="CY13" s="506"/>
      <c r="CZ13" s="506"/>
      <c r="DA13" s="506"/>
      <c r="DB13" s="506"/>
      <c r="DC13" s="509"/>
      <c r="DD13" s="4"/>
      <c r="DE13" s="4"/>
      <c r="DF13" s="4"/>
      <c r="DG13" s="4"/>
      <c r="DH13" s="4"/>
    </row>
    <row r="14" spans="1:112">
      <c r="A14" s="505"/>
      <c r="B14" s="989"/>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M14" s="506"/>
      <c r="AN14" s="506"/>
      <c r="AO14" s="506"/>
      <c r="AP14" s="506"/>
      <c r="AQ14" s="506"/>
      <c r="AR14" s="506"/>
      <c r="AS14" s="508"/>
      <c r="AT14" s="508"/>
      <c r="AU14" s="508"/>
      <c r="AV14" s="506"/>
      <c r="AW14" s="506"/>
      <c r="AX14" s="506"/>
      <c r="AY14" s="506"/>
      <c r="AZ14" s="506"/>
      <c r="BA14" s="506"/>
      <c r="BB14" s="506"/>
      <c r="BC14" s="506"/>
      <c r="BD14" s="506"/>
      <c r="BE14" s="506"/>
      <c r="BF14" s="506"/>
      <c r="BG14" s="506"/>
      <c r="BH14" s="506"/>
      <c r="BI14" s="506"/>
      <c r="BJ14" s="506"/>
      <c r="BK14" s="506"/>
      <c r="BL14" s="506"/>
      <c r="BM14" s="506"/>
      <c r="BN14" s="506"/>
      <c r="BO14" s="506"/>
      <c r="BP14" s="506"/>
      <c r="BQ14" s="506"/>
      <c r="BR14" s="506"/>
      <c r="BS14" s="506"/>
      <c r="BT14" s="506"/>
      <c r="BU14" s="506"/>
      <c r="BV14" s="506"/>
      <c r="BW14" s="506"/>
      <c r="BX14" s="506"/>
      <c r="BY14" s="506"/>
      <c r="BZ14" s="506"/>
      <c r="CA14" s="506"/>
      <c r="CB14" s="506"/>
      <c r="CC14" s="506"/>
      <c r="CD14" s="506"/>
      <c r="CE14" s="506"/>
      <c r="CF14" s="506"/>
      <c r="CG14" s="506"/>
      <c r="CH14" s="506"/>
      <c r="CI14" s="506"/>
      <c r="CJ14" s="506"/>
      <c r="CK14" s="506"/>
      <c r="CL14" s="506"/>
      <c r="CM14" s="506"/>
      <c r="CN14" s="506"/>
      <c r="CO14" s="506"/>
      <c r="CP14" s="506"/>
      <c r="CQ14" s="506"/>
      <c r="CR14" s="506"/>
      <c r="CS14" s="506"/>
      <c r="CT14" s="506"/>
      <c r="CU14" s="506"/>
      <c r="CV14" s="506"/>
      <c r="CW14" s="506"/>
      <c r="CX14" s="506"/>
      <c r="CY14" s="506"/>
      <c r="CZ14" s="506"/>
      <c r="DA14" s="506"/>
      <c r="DB14" s="506"/>
      <c r="DC14" s="509"/>
      <c r="DD14" s="4"/>
      <c r="DE14" s="4"/>
      <c r="DF14" s="4"/>
      <c r="DG14" s="4"/>
      <c r="DH14" s="4"/>
    </row>
    <row r="15" spans="1:112">
      <c r="A15" s="505"/>
      <c r="B15" s="989"/>
      <c r="C15" s="506"/>
      <c r="D15" s="506"/>
      <c r="E15" s="506"/>
      <c r="F15" s="506"/>
      <c r="G15" s="506"/>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08"/>
      <c r="AT15" s="508"/>
      <c r="AU15" s="508"/>
      <c r="AV15" s="506"/>
      <c r="AW15" s="506"/>
      <c r="AX15" s="506"/>
      <c r="AY15" s="506"/>
      <c r="AZ15" s="506"/>
      <c r="BA15" s="506"/>
      <c r="BB15" s="506"/>
      <c r="BC15" s="506"/>
      <c r="BD15" s="506"/>
      <c r="BE15" s="506"/>
      <c r="BF15" s="506"/>
      <c r="BG15" s="506"/>
      <c r="BH15" s="506"/>
      <c r="BI15" s="506"/>
      <c r="BJ15" s="506"/>
      <c r="BK15" s="506"/>
      <c r="BL15" s="506"/>
      <c r="BM15" s="506"/>
      <c r="BN15" s="506"/>
      <c r="BO15" s="506"/>
      <c r="BP15" s="506"/>
      <c r="BQ15" s="506"/>
      <c r="BR15" s="506"/>
      <c r="BS15" s="506"/>
      <c r="BT15" s="506"/>
      <c r="BU15" s="506"/>
      <c r="BV15" s="506"/>
      <c r="BW15" s="506"/>
      <c r="BX15" s="506"/>
      <c r="BY15" s="506"/>
      <c r="BZ15" s="506"/>
      <c r="CA15" s="506"/>
      <c r="CB15" s="506"/>
      <c r="CC15" s="506"/>
      <c r="CD15" s="506"/>
      <c r="CE15" s="506"/>
      <c r="CF15" s="506"/>
      <c r="CG15" s="506"/>
      <c r="CH15" s="506"/>
      <c r="CI15" s="506"/>
      <c r="CJ15" s="506"/>
      <c r="CK15" s="506"/>
      <c r="CL15" s="506"/>
      <c r="CM15" s="506"/>
      <c r="CN15" s="506"/>
      <c r="CO15" s="506"/>
      <c r="CP15" s="506"/>
      <c r="CQ15" s="506"/>
      <c r="CR15" s="506"/>
      <c r="CS15" s="506"/>
      <c r="CT15" s="506"/>
      <c r="CU15" s="506"/>
      <c r="CV15" s="506"/>
      <c r="CW15" s="506"/>
      <c r="CX15" s="506"/>
      <c r="CY15" s="506"/>
      <c r="CZ15" s="506"/>
      <c r="DA15" s="506"/>
      <c r="DB15" s="506"/>
      <c r="DC15" s="509"/>
      <c r="DD15" s="4"/>
      <c r="DE15" s="4"/>
      <c r="DF15" s="4"/>
      <c r="DG15" s="4"/>
      <c r="DH15" s="4"/>
    </row>
    <row r="16" spans="1:112">
      <c r="A16" s="505"/>
      <c r="B16" s="989"/>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506"/>
      <c r="AS16" s="508"/>
      <c r="AT16" s="508"/>
      <c r="AU16" s="508"/>
      <c r="AV16" s="506"/>
      <c r="AW16" s="506"/>
      <c r="AX16" s="506"/>
      <c r="AY16" s="506"/>
      <c r="AZ16" s="506"/>
      <c r="BA16" s="506"/>
      <c r="BB16" s="506"/>
      <c r="BC16" s="506"/>
      <c r="BD16" s="506"/>
      <c r="BE16" s="506"/>
      <c r="BF16" s="506"/>
      <c r="BG16" s="506"/>
      <c r="BH16" s="506"/>
      <c r="BI16" s="506"/>
      <c r="BJ16" s="506"/>
      <c r="BK16" s="506"/>
      <c r="BL16" s="506"/>
      <c r="BM16" s="506"/>
      <c r="BN16" s="506"/>
      <c r="BO16" s="506"/>
      <c r="BP16" s="506"/>
      <c r="BQ16" s="506"/>
      <c r="BR16" s="506"/>
      <c r="BS16" s="506"/>
      <c r="BT16" s="506"/>
      <c r="BU16" s="506"/>
      <c r="BV16" s="506"/>
      <c r="BW16" s="506"/>
      <c r="BX16" s="506"/>
      <c r="BY16" s="506"/>
      <c r="BZ16" s="506"/>
      <c r="CA16" s="506"/>
      <c r="CB16" s="506"/>
      <c r="CC16" s="506"/>
      <c r="CD16" s="506"/>
      <c r="CE16" s="506"/>
      <c r="CF16" s="506"/>
      <c r="CG16" s="506"/>
      <c r="CH16" s="506"/>
      <c r="CI16" s="506"/>
      <c r="CJ16" s="506"/>
      <c r="CK16" s="506"/>
      <c r="CL16" s="506"/>
      <c r="CM16" s="506"/>
      <c r="CN16" s="506"/>
      <c r="CO16" s="506"/>
      <c r="CP16" s="506"/>
      <c r="CQ16" s="506"/>
      <c r="CR16" s="506"/>
      <c r="CS16" s="506"/>
      <c r="CT16" s="506"/>
      <c r="CU16" s="506"/>
      <c r="CV16" s="506"/>
      <c r="CW16" s="506"/>
      <c r="CX16" s="506"/>
      <c r="CY16" s="506"/>
      <c r="CZ16" s="506"/>
      <c r="DA16" s="506"/>
      <c r="DB16" s="506"/>
      <c r="DC16" s="509"/>
      <c r="DD16" s="4"/>
      <c r="DE16" s="4"/>
      <c r="DF16" s="4"/>
      <c r="DG16" s="4"/>
      <c r="DH16" s="4"/>
    </row>
    <row r="17" spans="1:112">
      <c r="A17" s="505"/>
      <c r="B17" s="989"/>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c r="AP17" s="506"/>
      <c r="AQ17" s="506"/>
      <c r="AR17" s="506"/>
      <c r="AS17" s="508"/>
      <c r="AT17" s="508"/>
      <c r="AU17" s="508"/>
      <c r="AV17" s="506"/>
      <c r="AW17" s="506"/>
      <c r="AX17" s="506"/>
      <c r="AY17" s="506"/>
      <c r="AZ17" s="506"/>
      <c r="BA17" s="506"/>
      <c r="BB17" s="506"/>
      <c r="BC17" s="506"/>
      <c r="BD17" s="506"/>
      <c r="BE17" s="506"/>
      <c r="BF17" s="506"/>
      <c r="BG17" s="506"/>
      <c r="BH17" s="506"/>
      <c r="BI17" s="506"/>
      <c r="BJ17" s="506"/>
      <c r="BK17" s="506"/>
      <c r="BL17" s="506"/>
      <c r="BM17" s="506"/>
      <c r="BN17" s="506"/>
      <c r="BO17" s="506"/>
      <c r="BP17" s="506"/>
      <c r="BQ17" s="506"/>
      <c r="BR17" s="506"/>
      <c r="BS17" s="506"/>
      <c r="BT17" s="506"/>
      <c r="BU17" s="506"/>
      <c r="BV17" s="506"/>
      <c r="BW17" s="506"/>
      <c r="BX17" s="506"/>
      <c r="BY17" s="506"/>
      <c r="BZ17" s="506"/>
      <c r="CA17" s="506"/>
      <c r="CB17" s="506"/>
      <c r="CC17" s="506"/>
      <c r="CD17" s="506"/>
      <c r="CE17" s="506"/>
      <c r="CF17" s="506"/>
      <c r="CG17" s="506"/>
      <c r="CH17" s="506"/>
      <c r="CI17" s="506"/>
      <c r="CJ17" s="506"/>
      <c r="CK17" s="506"/>
      <c r="CL17" s="506"/>
      <c r="CM17" s="506"/>
      <c r="CN17" s="506"/>
      <c r="CO17" s="506"/>
      <c r="CP17" s="506"/>
      <c r="CQ17" s="506"/>
      <c r="CR17" s="506"/>
      <c r="CS17" s="506"/>
      <c r="CT17" s="506"/>
      <c r="CU17" s="506"/>
      <c r="CV17" s="506"/>
      <c r="CW17" s="506"/>
      <c r="CX17" s="506"/>
      <c r="CY17" s="506"/>
      <c r="CZ17" s="506"/>
      <c r="DA17" s="506"/>
      <c r="DB17" s="506"/>
      <c r="DC17" s="509"/>
      <c r="DD17" s="4"/>
      <c r="DE17" s="4"/>
      <c r="DF17" s="4"/>
      <c r="DG17" s="4"/>
      <c r="DH17" s="4"/>
    </row>
    <row r="18" spans="1:112">
      <c r="A18" s="505"/>
      <c r="B18" s="989"/>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506"/>
      <c r="AN18" s="506"/>
      <c r="AO18" s="506"/>
      <c r="AP18" s="506"/>
      <c r="AQ18" s="506"/>
      <c r="AR18" s="506"/>
      <c r="AS18" s="508"/>
      <c r="AT18" s="508"/>
      <c r="AU18" s="508"/>
      <c r="AV18" s="506"/>
      <c r="AW18" s="506"/>
      <c r="AX18" s="506"/>
      <c r="AY18" s="506"/>
      <c r="AZ18" s="506"/>
      <c r="BA18" s="506"/>
      <c r="BB18" s="506"/>
      <c r="BC18" s="506"/>
      <c r="BD18" s="506"/>
      <c r="BE18" s="506"/>
      <c r="BF18" s="506"/>
      <c r="BG18" s="506"/>
      <c r="BH18" s="506"/>
      <c r="BI18" s="506"/>
      <c r="BJ18" s="506"/>
      <c r="BK18" s="506"/>
      <c r="BL18" s="506"/>
      <c r="BM18" s="506"/>
      <c r="BN18" s="506"/>
      <c r="BO18" s="506"/>
      <c r="BP18" s="506"/>
      <c r="BQ18" s="506"/>
      <c r="BR18" s="506"/>
      <c r="BS18" s="506"/>
      <c r="BT18" s="506"/>
      <c r="BU18" s="506"/>
      <c r="BV18" s="506"/>
      <c r="BW18" s="506"/>
      <c r="BX18" s="506"/>
      <c r="BY18" s="506"/>
      <c r="BZ18" s="506"/>
      <c r="CA18" s="506"/>
      <c r="CB18" s="506"/>
      <c r="CC18" s="506"/>
      <c r="CD18" s="506"/>
      <c r="CE18" s="506"/>
      <c r="CF18" s="506"/>
      <c r="CG18" s="506"/>
      <c r="CH18" s="506"/>
      <c r="CI18" s="506"/>
      <c r="CJ18" s="506"/>
      <c r="CK18" s="506"/>
      <c r="CL18" s="506"/>
      <c r="CM18" s="506"/>
      <c r="CN18" s="506"/>
      <c r="CO18" s="506"/>
      <c r="CP18" s="506"/>
      <c r="CQ18" s="506"/>
      <c r="CR18" s="506"/>
      <c r="CS18" s="506"/>
      <c r="CT18" s="506"/>
      <c r="CU18" s="506"/>
      <c r="CV18" s="506"/>
      <c r="CW18" s="506"/>
      <c r="CX18" s="506"/>
      <c r="CY18" s="506"/>
      <c r="CZ18" s="506"/>
      <c r="DA18" s="506"/>
      <c r="DB18" s="506"/>
      <c r="DC18" s="509"/>
      <c r="DD18" s="4"/>
      <c r="DE18" s="4"/>
      <c r="DF18" s="4"/>
      <c r="DG18" s="4"/>
      <c r="DH18" s="4"/>
    </row>
    <row r="19" spans="1:112">
      <c r="A19" s="505"/>
      <c r="B19" s="989"/>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6"/>
      <c r="AS19" s="508"/>
      <c r="AT19" s="508"/>
      <c r="AU19" s="508"/>
      <c r="AV19" s="506"/>
      <c r="AW19" s="506"/>
      <c r="AX19" s="506"/>
      <c r="AY19" s="506"/>
      <c r="AZ19" s="506"/>
      <c r="BA19" s="506"/>
      <c r="BB19" s="506"/>
      <c r="BC19" s="506"/>
      <c r="BD19" s="506"/>
      <c r="BE19" s="506"/>
      <c r="BF19" s="506"/>
      <c r="BG19" s="506"/>
      <c r="BH19" s="506"/>
      <c r="BI19" s="506"/>
      <c r="BJ19" s="506"/>
      <c r="BK19" s="506"/>
      <c r="BL19" s="506"/>
      <c r="BM19" s="506"/>
      <c r="BN19" s="506"/>
      <c r="BO19" s="506"/>
      <c r="BP19" s="506"/>
      <c r="BQ19" s="506"/>
      <c r="BR19" s="506"/>
      <c r="BS19" s="506"/>
      <c r="BT19" s="506"/>
      <c r="BU19" s="506"/>
      <c r="BV19" s="506"/>
      <c r="BW19" s="506"/>
      <c r="BX19" s="506"/>
      <c r="BY19" s="506"/>
      <c r="BZ19" s="506"/>
      <c r="CA19" s="506"/>
      <c r="CB19" s="506"/>
      <c r="CC19" s="506"/>
      <c r="CD19" s="506"/>
      <c r="CE19" s="506"/>
      <c r="CF19" s="506"/>
      <c r="CG19" s="506"/>
      <c r="CH19" s="506"/>
      <c r="CI19" s="506"/>
      <c r="CJ19" s="506"/>
      <c r="CK19" s="506"/>
      <c r="CL19" s="506"/>
      <c r="CM19" s="506"/>
      <c r="CN19" s="506"/>
      <c r="CO19" s="506"/>
      <c r="CP19" s="506"/>
      <c r="CQ19" s="506"/>
      <c r="CR19" s="506"/>
      <c r="CS19" s="506"/>
      <c r="CT19" s="506"/>
      <c r="CU19" s="506"/>
      <c r="CV19" s="506"/>
      <c r="CW19" s="506"/>
      <c r="CX19" s="506"/>
      <c r="CY19" s="506"/>
      <c r="CZ19" s="506"/>
      <c r="DA19" s="506"/>
      <c r="DB19" s="506"/>
      <c r="DC19" s="509"/>
      <c r="DD19" s="4"/>
      <c r="DE19" s="4"/>
      <c r="DF19" s="4"/>
      <c r="DG19" s="4"/>
      <c r="DH19" s="4"/>
    </row>
    <row r="20" spans="1:112">
      <c r="A20" s="505"/>
      <c r="B20" s="989"/>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08"/>
      <c r="AT20" s="508"/>
      <c r="AU20" s="508"/>
      <c r="AV20" s="506"/>
      <c r="AW20" s="506"/>
      <c r="AX20" s="506"/>
      <c r="AY20" s="506"/>
      <c r="AZ20" s="506"/>
      <c r="BA20" s="506"/>
      <c r="BB20" s="506"/>
      <c r="BC20" s="506"/>
      <c r="BD20" s="506"/>
      <c r="BE20" s="506"/>
      <c r="BF20" s="506"/>
      <c r="BG20" s="506"/>
      <c r="BH20" s="506"/>
      <c r="BI20" s="506"/>
      <c r="BJ20" s="506"/>
      <c r="BK20" s="506"/>
      <c r="BL20" s="506"/>
      <c r="BM20" s="506"/>
      <c r="BN20" s="506"/>
      <c r="BO20" s="506"/>
      <c r="BP20" s="506"/>
      <c r="BQ20" s="506"/>
      <c r="BR20" s="506"/>
      <c r="BS20" s="506"/>
      <c r="BT20" s="506"/>
      <c r="BU20" s="506"/>
      <c r="BV20" s="506"/>
      <c r="BW20" s="506"/>
      <c r="BX20" s="506"/>
      <c r="BY20" s="506"/>
      <c r="BZ20" s="506"/>
      <c r="CA20" s="506"/>
      <c r="CB20" s="506"/>
      <c r="CC20" s="506"/>
      <c r="CD20" s="506"/>
      <c r="CE20" s="506"/>
      <c r="CF20" s="506"/>
      <c r="CG20" s="506"/>
      <c r="CH20" s="506"/>
      <c r="CI20" s="506"/>
      <c r="CJ20" s="506"/>
      <c r="CK20" s="506"/>
      <c r="CL20" s="506"/>
      <c r="CM20" s="506"/>
      <c r="CN20" s="506"/>
      <c r="CO20" s="506"/>
      <c r="CP20" s="506"/>
      <c r="CQ20" s="506"/>
      <c r="CR20" s="506"/>
      <c r="CS20" s="506"/>
      <c r="CT20" s="506"/>
      <c r="CU20" s="506"/>
      <c r="CV20" s="506"/>
      <c r="CW20" s="506"/>
      <c r="CX20" s="506"/>
      <c r="CY20" s="506"/>
      <c r="CZ20" s="506"/>
      <c r="DA20" s="506"/>
      <c r="DB20" s="506"/>
      <c r="DC20" s="509"/>
      <c r="DD20" s="4"/>
      <c r="DE20" s="4"/>
      <c r="DF20" s="4"/>
      <c r="DG20" s="4"/>
      <c r="DH20" s="4"/>
    </row>
    <row r="21" spans="1:112">
      <c r="A21" s="505"/>
      <c r="B21" s="989"/>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8"/>
      <c r="AT21" s="508"/>
      <c r="AU21" s="508"/>
      <c r="AV21" s="506"/>
      <c r="AW21" s="506"/>
      <c r="AX21" s="506"/>
      <c r="AY21" s="506"/>
      <c r="AZ21" s="506"/>
      <c r="BA21" s="506"/>
      <c r="BB21" s="506"/>
      <c r="BC21" s="506"/>
      <c r="BD21" s="506"/>
      <c r="BE21" s="506"/>
      <c r="BF21" s="506"/>
      <c r="BG21" s="506"/>
      <c r="BH21" s="506"/>
      <c r="BI21" s="506"/>
      <c r="BJ21" s="506"/>
      <c r="BK21" s="506"/>
      <c r="BL21" s="506"/>
      <c r="BM21" s="506"/>
      <c r="BN21" s="506"/>
      <c r="BO21" s="506"/>
      <c r="BP21" s="506"/>
      <c r="BQ21" s="506"/>
      <c r="BR21" s="506"/>
      <c r="BS21" s="506"/>
      <c r="BT21" s="506"/>
      <c r="BU21" s="506"/>
      <c r="BV21" s="506"/>
      <c r="BW21" s="506"/>
      <c r="BX21" s="506"/>
      <c r="BY21" s="506"/>
      <c r="BZ21" s="506"/>
      <c r="CA21" s="506"/>
      <c r="CB21" s="506"/>
      <c r="CC21" s="506"/>
      <c r="CD21" s="506"/>
      <c r="CE21" s="506"/>
      <c r="CF21" s="506"/>
      <c r="CG21" s="506"/>
      <c r="CH21" s="506"/>
      <c r="CI21" s="506"/>
      <c r="CJ21" s="506"/>
      <c r="CK21" s="506"/>
      <c r="CL21" s="506"/>
      <c r="CM21" s="506"/>
      <c r="CN21" s="506"/>
      <c r="CO21" s="506"/>
      <c r="CP21" s="506"/>
      <c r="CQ21" s="506"/>
      <c r="CR21" s="506"/>
      <c r="CS21" s="506"/>
      <c r="CT21" s="506"/>
      <c r="CU21" s="506"/>
      <c r="CV21" s="506"/>
      <c r="CW21" s="506"/>
      <c r="CX21" s="506"/>
      <c r="CY21" s="506"/>
      <c r="CZ21" s="506"/>
      <c r="DA21" s="506"/>
      <c r="DB21" s="506"/>
      <c r="DC21" s="509"/>
      <c r="DD21" s="4"/>
      <c r="DE21" s="4"/>
      <c r="DF21" s="4"/>
      <c r="DG21" s="4"/>
      <c r="DH21" s="4"/>
    </row>
    <row r="22" spans="1:112">
      <c r="A22" s="505"/>
      <c r="B22" s="989"/>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8"/>
      <c r="AT22" s="508"/>
      <c r="AU22" s="508"/>
      <c r="AV22" s="506"/>
      <c r="AW22" s="506"/>
      <c r="AX22" s="506"/>
      <c r="AY22" s="506"/>
      <c r="AZ22" s="506"/>
      <c r="BA22" s="506"/>
      <c r="BB22" s="506"/>
      <c r="BC22" s="506"/>
      <c r="BD22" s="506"/>
      <c r="BE22" s="506"/>
      <c r="BF22" s="506"/>
      <c r="BG22" s="506"/>
      <c r="BH22" s="506"/>
      <c r="BI22" s="506"/>
      <c r="BJ22" s="506"/>
      <c r="BK22" s="506"/>
      <c r="BL22" s="506"/>
      <c r="BM22" s="506"/>
      <c r="BN22" s="506"/>
      <c r="BO22" s="506"/>
      <c r="BP22" s="506"/>
      <c r="BQ22" s="506"/>
      <c r="BR22" s="506"/>
      <c r="BS22" s="506"/>
      <c r="BT22" s="506"/>
      <c r="BU22" s="506"/>
      <c r="BV22" s="506"/>
      <c r="BW22" s="506"/>
      <c r="BX22" s="506"/>
      <c r="BY22" s="506"/>
      <c r="BZ22" s="506"/>
      <c r="CA22" s="506"/>
      <c r="CB22" s="506"/>
      <c r="CC22" s="506"/>
      <c r="CD22" s="506"/>
      <c r="CE22" s="506"/>
      <c r="CF22" s="506"/>
      <c r="CG22" s="506"/>
      <c r="CH22" s="506"/>
      <c r="CI22" s="506"/>
      <c r="CJ22" s="506"/>
      <c r="CK22" s="506"/>
      <c r="CL22" s="506"/>
      <c r="CM22" s="506"/>
      <c r="CN22" s="506"/>
      <c r="CO22" s="506"/>
      <c r="CP22" s="506"/>
      <c r="CQ22" s="506"/>
      <c r="CR22" s="506"/>
      <c r="CS22" s="506"/>
      <c r="CT22" s="506"/>
      <c r="CU22" s="506"/>
      <c r="CV22" s="506"/>
      <c r="CW22" s="506"/>
      <c r="CX22" s="506"/>
      <c r="CY22" s="506"/>
      <c r="CZ22" s="506"/>
      <c r="DA22" s="506"/>
      <c r="DB22" s="506"/>
      <c r="DC22" s="509"/>
      <c r="DD22" s="4"/>
      <c r="DE22" s="4"/>
      <c r="DF22" s="4"/>
      <c r="DG22" s="4"/>
      <c r="DH22" s="4"/>
    </row>
    <row r="23" spans="1:112">
      <c r="A23" s="505"/>
      <c r="B23" s="989"/>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6"/>
      <c r="AS23" s="508"/>
      <c r="AT23" s="508"/>
      <c r="AU23" s="508"/>
      <c r="AV23" s="506"/>
      <c r="AW23" s="506"/>
      <c r="AX23" s="506"/>
      <c r="AY23" s="506"/>
      <c r="AZ23" s="506"/>
      <c r="BA23" s="506"/>
      <c r="BB23" s="506"/>
      <c r="BC23" s="506"/>
      <c r="BD23" s="506"/>
      <c r="BE23" s="506"/>
      <c r="BF23" s="506"/>
      <c r="BG23" s="506"/>
      <c r="BH23" s="506"/>
      <c r="BI23" s="506"/>
      <c r="BJ23" s="506"/>
      <c r="BK23" s="506"/>
      <c r="BL23" s="506"/>
      <c r="BM23" s="506"/>
      <c r="BN23" s="506"/>
      <c r="BO23" s="506"/>
      <c r="BP23" s="506"/>
      <c r="BQ23" s="506"/>
      <c r="BR23" s="506"/>
      <c r="BS23" s="506"/>
      <c r="BT23" s="506"/>
      <c r="BU23" s="506"/>
      <c r="BV23" s="506"/>
      <c r="BW23" s="506"/>
      <c r="BX23" s="506"/>
      <c r="BY23" s="506"/>
      <c r="BZ23" s="506"/>
      <c r="CA23" s="506"/>
      <c r="CB23" s="506"/>
      <c r="CC23" s="506"/>
      <c r="CD23" s="506"/>
      <c r="CE23" s="506"/>
      <c r="CF23" s="506"/>
      <c r="CG23" s="506"/>
      <c r="CH23" s="506"/>
      <c r="CI23" s="506"/>
      <c r="CJ23" s="506"/>
      <c r="CK23" s="506"/>
      <c r="CL23" s="506"/>
      <c r="CM23" s="506"/>
      <c r="CN23" s="506"/>
      <c r="CO23" s="506"/>
      <c r="CP23" s="506"/>
      <c r="CQ23" s="506"/>
      <c r="CR23" s="506"/>
      <c r="CS23" s="506"/>
      <c r="CT23" s="506"/>
      <c r="CU23" s="506"/>
      <c r="CV23" s="506"/>
      <c r="CW23" s="506"/>
      <c r="CX23" s="506"/>
      <c r="CY23" s="506"/>
      <c r="CZ23" s="506"/>
      <c r="DA23" s="506"/>
      <c r="DB23" s="506"/>
      <c r="DC23" s="509"/>
      <c r="DD23" s="4"/>
      <c r="DE23" s="4"/>
      <c r="DF23" s="4"/>
      <c r="DG23" s="4"/>
      <c r="DH23" s="4"/>
    </row>
    <row r="24" spans="1:112">
      <c r="A24" s="505"/>
      <c r="B24" s="989"/>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8"/>
      <c r="AT24" s="508"/>
      <c r="AU24" s="508"/>
      <c r="AV24" s="506"/>
      <c r="AW24" s="506"/>
      <c r="AX24" s="506"/>
      <c r="AY24" s="506"/>
      <c r="AZ24" s="506"/>
      <c r="BA24" s="506"/>
      <c r="BB24" s="506"/>
      <c r="BC24" s="506"/>
      <c r="BD24" s="506"/>
      <c r="BE24" s="506"/>
      <c r="BF24" s="506"/>
      <c r="BG24" s="506"/>
      <c r="BH24" s="506"/>
      <c r="BI24" s="506"/>
      <c r="BJ24" s="506"/>
      <c r="BK24" s="506"/>
      <c r="BL24" s="506"/>
      <c r="BM24" s="506"/>
      <c r="BN24" s="506"/>
      <c r="BO24" s="506"/>
      <c r="BP24" s="506"/>
      <c r="BQ24" s="506"/>
      <c r="BR24" s="506"/>
      <c r="BS24" s="506"/>
      <c r="BT24" s="506"/>
      <c r="BU24" s="506"/>
      <c r="BV24" s="506"/>
      <c r="BW24" s="506"/>
      <c r="BX24" s="506"/>
      <c r="BY24" s="506"/>
      <c r="BZ24" s="506"/>
      <c r="CA24" s="506"/>
      <c r="CB24" s="506"/>
      <c r="CC24" s="506"/>
      <c r="CD24" s="506"/>
      <c r="CE24" s="506"/>
      <c r="CF24" s="506"/>
      <c r="CG24" s="506"/>
      <c r="CH24" s="506"/>
      <c r="CI24" s="506"/>
      <c r="CJ24" s="506"/>
      <c r="CK24" s="506"/>
      <c r="CL24" s="506"/>
      <c r="CM24" s="506"/>
      <c r="CN24" s="506"/>
      <c r="CO24" s="506"/>
      <c r="CP24" s="506"/>
      <c r="CQ24" s="506"/>
      <c r="CR24" s="506"/>
      <c r="CS24" s="506"/>
      <c r="CT24" s="506"/>
      <c r="CU24" s="506"/>
      <c r="CV24" s="506"/>
      <c r="CW24" s="506"/>
      <c r="CX24" s="506"/>
      <c r="CY24" s="506"/>
      <c r="CZ24" s="506"/>
      <c r="DA24" s="506"/>
      <c r="DB24" s="506"/>
      <c r="DC24" s="509"/>
      <c r="DD24" s="4"/>
      <c r="DE24" s="4"/>
      <c r="DF24" s="4"/>
      <c r="DG24" s="4"/>
      <c r="DH24" s="4"/>
    </row>
    <row r="25" spans="1:112">
      <c r="A25" s="505"/>
      <c r="B25" s="989"/>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8"/>
      <c r="AT25" s="508"/>
      <c r="AU25" s="508"/>
      <c r="AV25" s="506"/>
      <c r="AW25" s="506"/>
      <c r="AX25" s="506"/>
      <c r="AY25" s="506"/>
      <c r="AZ25" s="506"/>
      <c r="BA25" s="506"/>
      <c r="BB25" s="506"/>
      <c r="BC25" s="506"/>
      <c r="BD25" s="506"/>
      <c r="BE25" s="506"/>
      <c r="BF25" s="506"/>
      <c r="BG25" s="506"/>
      <c r="BH25" s="506"/>
      <c r="BI25" s="506"/>
      <c r="BJ25" s="506"/>
      <c r="BK25" s="506"/>
      <c r="BL25" s="506"/>
      <c r="BM25" s="506"/>
      <c r="BN25" s="506"/>
      <c r="BO25" s="506"/>
      <c r="BP25" s="506"/>
      <c r="BQ25" s="506"/>
      <c r="BR25" s="506"/>
      <c r="BS25" s="506"/>
      <c r="BT25" s="506"/>
      <c r="BU25" s="506"/>
      <c r="BV25" s="506"/>
      <c r="BW25" s="506"/>
      <c r="BX25" s="506"/>
      <c r="BY25" s="506"/>
      <c r="BZ25" s="506"/>
      <c r="CA25" s="506"/>
      <c r="CB25" s="506"/>
      <c r="CC25" s="506"/>
      <c r="CD25" s="506"/>
      <c r="CE25" s="506"/>
      <c r="CF25" s="506"/>
      <c r="CG25" s="506"/>
      <c r="CH25" s="506"/>
      <c r="CI25" s="506"/>
      <c r="CJ25" s="506"/>
      <c r="CK25" s="506"/>
      <c r="CL25" s="506"/>
      <c r="CM25" s="506"/>
      <c r="CN25" s="506"/>
      <c r="CO25" s="506"/>
      <c r="CP25" s="506"/>
      <c r="CQ25" s="506"/>
      <c r="CR25" s="506"/>
      <c r="CS25" s="506"/>
      <c r="CT25" s="506"/>
      <c r="CU25" s="506"/>
      <c r="CV25" s="506"/>
      <c r="CW25" s="506"/>
      <c r="CX25" s="506"/>
      <c r="CY25" s="506"/>
      <c r="CZ25" s="506"/>
      <c r="DA25" s="506"/>
      <c r="DB25" s="506"/>
      <c r="DC25" s="509"/>
      <c r="DD25" s="4"/>
      <c r="DE25" s="4"/>
      <c r="DF25" s="4"/>
      <c r="DG25" s="4"/>
      <c r="DH25" s="4"/>
    </row>
    <row r="26" spans="1:112">
      <c r="A26" s="505"/>
      <c r="B26" s="989"/>
      <c r="C26" s="506"/>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506"/>
      <c r="AP26" s="506"/>
      <c r="AQ26" s="506"/>
      <c r="AR26" s="506"/>
      <c r="AS26" s="508"/>
      <c r="AT26" s="508"/>
      <c r="AU26" s="508"/>
      <c r="AV26" s="506"/>
      <c r="AW26" s="506"/>
      <c r="AX26" s="506"/>
      <c r="AY26" s="506"/>
      <c r="AZ26" s="506"/>
      <c r="BA26" s="506"/>
      <c r="BB26" s="506"/>
      <c r="BC26" s="506"/>
      <c r="BD26" s="506"/>
      <c r="BE26" s="506"/>
      <c r="BF26" s="506"/>
      <c r="BG26" s="506"/>
      <c r="BH26" s="506"/>
      <c r="BI26" s="506"/>
      <c r="BJ26" s="506"/>
      <c r="BK26" s="506"/>
      <c r="BL26" s="506"/>
      <c r="BM26" s="506"/>
      <c r="BN26" s="506"/>
      <c r="BO26" s="506"/>
      <c r="BP26" s="506"/>
      <c r="BQ26" s="506"/>
      <c r="BR26" s="506"/>
      <c r="BS26" s="506"/>
      <c r="BT26" s="506"/>
      <c r="BU26" s="506"/>
      <c r="BV26" s="506"/>
      <c r="BW26" s="506"/>
      <c r="BX26" s="506"/>
      <c r="BY26" s="506"/>
      <c r="BZ26" s="506"/>
      <c r="CA26" s="506"/>
      <c r="CB26" s="506"/>
      <c r="CC26" s="506"/>
      <c r="CD26" s="506"/>
      <c r="CE26" s="506"/>
      <c r="CF26" s="506"/>
      <c r="CG26" s="506"/>
      <c r="CH26" s="506"/>
      <c r="CI26" s="506"/>
      <c r="CJ26" s="506"/>
      <c r="CK26" s="506"/>
      <c r="CL26" s="506"/>
      <c r="CM26" s="506"/>
      <c r="CN26" s="506"/>
      <c r="CO26" s="506"/>
      <c r="CP26" s="506"/>
      <c r="CQ26" s="506"/>
      <c r="CR26" s="506"/>
      <c r="CS26" s="506"/>
      <c r="CT26" s="506"/>
      <c r="CU26" s="506"/>
      <c r="CV26" s="506"/>
      <c r="CW26" s="506"/>
      <c r="CX26" s="506"/>
      <c r="CY26" s="506"/>
      <c r="CZ26" s="506"/>
      <c r="DA26" s="506"/>
      <c r="DB26" s="506"/>
      <c r="DC26" s="509"/>
      <c r="DD26" s="4"/>
      <c r="DE26" s="4"/>
      <c r="DF26" s="4"/>
      <c r="DG26" s="4"/>
      <c r="DH26" s="4"/>
    </row>
    <row r="27" spans="1:112">
      <c r="A27" s="505"/>
      <c r="B27" s="989"/>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6"/>
      <c r="AJ27" s="506"/>
      <c r="AK27" s="506"/>
      <c r="AL27" s="506"/>
      <c r="AM27" s="506"/>
      <c r="AN27" s="506"/>
      <c r="AO27" s="506"/>
      <c r="AP27" s="506"/>
      <c r="AQ27" s="506"/>
      <c r="AR27" s="506"/>
      <c r="AS27" s="508"/>
      <c r="AT27" s="508"/>
      <c r="AU27" s="508"/>
      <c r="AV27" s="506"/>
      <c r="AW27" s="506"/>
      <c r="AX27" s="506"/>
      <c r="AY27" s="506"/>
      <c r="AZ27" s="506"/>
      <c r="BA27" s="506"/>
      <c r="BB27" s="506"/>
      <c r="BC27" s="506"/>
      <c r="BD27" s="506"/>
      <c r="BE27" s="506"/>
      <c r="BF27" s="506"/>
      <c r="BG27" s="506"/>
      <c r="BH27" s="506"/>
      <c r="BI27" s="506"/>
      <c r="BJ27" s="506"/>
      <c r="BK27" s="506"/>
      <c r="BL27" s="506"/>
      <c r="BM27" s="506"/>
      <c r="BN27" s="506"/>
      <c r="BO27" s="506"/>
      <c r="BP27" s="506"/>
      <c r="BQ27" s="506"/>
      <c r="BR27" s="506"/>
      <c r="BS27" s="506"/>
      <c r="BT27" s="506"/>
      <c r="BU27" s="506"/>
      <c r="BV27" s="506"/>
      <c r="BW27" s="506"/>
      <c r="BX27" s="506"/>
      <c r="BY27" s="506"/>
      <c r="BZ27" s="506"/>
      <c r="CA27" s="506"/>
      <c r="CB27" s="506"/>
      <c r="CC27" s="506"/>
      <c r="CD27" s="506"/>
      <c r="CE27" s="506"/>
      <c r="CF27" s="506"/>
      <c r="CG27" s="506"/>
      <c r="CH27" s="506"/>
      <c r="CI27" s="506"/>
      <c r="CJ27" s="506"/>
      <c r="CK27" s="506"/>
      <c r="CL27" s="506"/>
      <c r="CM27" s="506"/>
      <c r="CN27" s="506"/>
      <c r="CO27" s="506"/>
      <c r="CP27" s="506"/>
      <c r="CQ27" s="506"/>
      <c r="CR27" s="506"/>
      <c r="CS27" s="506"/>
      <c r="CT27" s="506"/>
      <c r="CU27" s="506"/>
      <c r="CV27" s="506"/>
      <c r="CW27" s="506"/>
      <c r="CX27" s="506"/>
      <c r="CY27" s="506"/>
      <c r="CZ27" s="506"/>
      <c r="DA27" s="506"/>
      <c r="DB27" s="506"/>
      <c r="DC27" s="509"/>
      <c r="DD27" s="4"/>
      <c r="DE27" s="4"/>
      <c r="DF27" s="4"/>
      <c r="DG27" s="4"/>
      <c r="DH27" s="4"/>
    </row>
    <row r="28" spans="1:112" hidden="1">
      <c r="A28" s="505"/>
      <c r="B28" s="506"/>
      <c r="C28" s="979" t="s">
        <v>806</v>
      </c>
      <c r="D28" s="979"/>
      <c r="E28" s="521"/>
      <c r="F28" s="508"/>
      <c r="G28" s="513" t="s">
        <v>807</v>
      </c>
      <c r="H28" s="514" t="e">
        <f>AVERAGE(G47:AI47)</f>
        <v>#DIV/0!</v>
      </c>
      <c r="I28" s="508"/>
      <c r="J28" s="522" t="s">
        <v>808</v>
      </c>
      <c r="K28" s="514" t="e">
        <f>SUM(H28*3.27)</f>
        <v>#DIV/0!</v>
      </c>
      <c r="L28" s="508"/>
      <c r="M28" s="508"/>
      <c r="N28" s="522" t="s">
        <v>809</v>
      </c>
      <c r="O28" s="514" t="str">
        <f>IF(J7="","",SUM(J7-I8)/Y8)</f>
        <v/>
      </c>
      <c r="P28" s="508"/>
      <c r="Q28" s="522" t="s">
        <v>810</v>
      </c>
      <c r="R28" s="508"/>
      <c r="S28" s="514" t="str">
        <f>IF(V7="","",SUM(I8-V7)/Y8)</f>
        <v/>
      </c>
      <c r="T28" s="508"/>
      <c r="U28" s="508"/>
      <c r="V28" s="522" t="s">
        <v>811</v>
      </c>
      <c r="W28" s="508"/>
      <c r="X28" s="506"/>
      <c r="Y28" s="517" t="e">
        <f>SUM(J7-I8)/Y8/3</f>
        <v>#DIV/0!</v>
      </c>
      <c r="Z28" s="508"/>
      <c r="AA28" s="516" t="s">
        <v>812</v>
      </c>
      <c r="AB28" s="506"/>
      <c r="AC28" s="508"/>
      <c r="AD28" s="517" t="e">
        <f>SUM(I8-V7)/Y8/3</f>
        <v>#DIV/0!</v>
      </c>
      <c r="AE28" s="506"/>
      <c r="AF28" s="506"/>
      <c r="AG28" s="506"/>
      <c r="AH28" s="506"/>
      <c r="AI28" s="506"/>
      <c r="AJ28" s="506"/>
      <c r="AK28" s="506"/>
      <c r="AL28" s="506"/>
      <c r="AM28" s="506"/>
      <c r="AN28" s="506"/>
      <c r="AO28" s="506"/>
      <c r="AP28" s="506"/>
      <c r="AQ28" s="506"/>
      <c r="AR28" s="506"/>
      <c r="AS28" s="508"/>
      <c r="AT28" s="508"/>
      <c r="AU28" s="508"/>
      <c r="AV28" s="506"/>
      <c r="AW28" s="506"/>
      <c r="AX28" s="506"/>
      <c r="AY28" s="506"/>
      <c r="AZ28" s="506"/>
      <c r="BA28" s="506"/>
      <c r="BB28" s="506"/>
      <c r="BC28" s="506"/>
      <c r="BD28" s="506"/>
      <c r="BE28" s="506"/>
      <c r="BF28" s="506"/>
      <c r="BG28" s="506"/>
      <c r="BH28" s="506"/>
      <c r="BI28" s="506"/>
      <c r="BJ28" s="506"/>
      <c r="BK28" s="506"/>
      <c r="BL28" s="506"/>
      <c r="BM28" s="506"/>
      <c r="BN28" s="506"/>
      <c r="BO28" s="506"/>
      <c r="BP28" s="506"/>
      <c r="BQ28" s="506"/>
      <c r="BR28" s="506"/>
      <c r="BS28" s="506"/>
      <c r="BT28" s="506"/>
      <c r="BU28" s="506"/>
      <c r="BV28" s="506"/>
      <c r="BW28" s="506"/>
      <c r="BX28" s="506"/>
      <c r="BY28" s="506"/>
      <c r="BZ28" s="506"/>
      <c r="CA28" s="506"/>
      <c r="CB28" s="506"/>
      <c r="CC28" s="506"/>
      <c r="CD28" s="506"/>
      <c r="CE28" s="506"/>
      <c r="CF28" s="506"/>
      <c r="CG28" s="506"/>
      <c r="CH28" s="506"/>
      <c r="CI28" s="506"/>
      <c r="CJ28" s="506"/>
      <c r="CK28" s="506"/>
      <c r="CL28" s="506"/>
      <c r="CM28" s="506"/>
      <c r="CN28" s="506"/>
      <c r="CO28" s="506"/>
      <c r="CP28" s="506"/>
      <c r="CQ28" s="506"/>
      <c r="CR28" s="506"/>
      <c r="CS28" s="506"/>
      <c r="CT28" s="506"/>
      <c r="CU28" s="506"/>
      <c r="CV28" s="506"/>
      <c r="CW28" s="506"/>
      <c r="CX28" s="506"/>
      <c r="CY28" s="506"/>
      <c r="CZ28" s="506"/>
      <c r="DA28" s="506"/>
      <c r="DB28" s="506"/>
      <c r="DC28" s="509"/>
      <c r="DD28" s="4"/>
      <c r="DE28" s="4"/>
      <c r="DF28" s="4"/>
      <c r="DG28" s="4"/>
      <c r="DH28" s="4"/>
    </row>
    <row r="29" spans="1:112" hidden="1">
      <c r="A29" s="505"/>
      <c r="B29" s="506"/>
      <c r="C29" s="521"/>
      <c r="D29" s="521"/>
      <c r="E29" s="521"/>
      <c r="F29" s="508"/>
      <c r="G29" s="513"/>
      <c r="H29" s="514" t="e">
        <f>AVERAGE(G47:DA47)</f>
        <v>#DIV/0!</v>
      </c>
      <c r="I29" s="508"/>
      <c r="J29" s="522"/>
      <c r="K29" s="514" t="e">
        <f>SUM(H29*3.27)</f>
        <v>#DIV/0!</v>
      </c>
      <c r="L29" s="508"/>
      <c r="M29" s="508"/>
      <c r="N29" s="522"/>
      <c r="O29" s="514" t="str">
        <f>IF(J7="","",SUM(J7-I9)/Y9)</f>
        <v/>
      </c>
      <c r="P29" s="508"/>
      <c r="Q29" s="522"/>
      <c r="R29" s="508"/>
      <c r="S29" s="514" t="str">
        <f>IF(V7="","",SUM(I9-V7)/Y9)</f>
        <v/>
      </c>
      <c r="T29" s="508"/>
      <c r="U29" s="508"/>
      <c r="V29" s="522"/>
      <c r="W29" s="508"/>
      <c r="X29" s="506"/>
      <c r="Y29" s="517" t="e">
        <f>SUM(J7-I9)/Y9/3</f>
        <v>#DIV/0!</v>
      </c>
      <c r="Z29" s="508"/>
      <c r="AA29" s="516"/>
      <c r="AB29" s="506"/>
      <c r="AC29" s="508"/>
      <c r="AD29" s="517" t="e">
        <f>SUM(I9-V7)/Y9/3</f>
        <v>#DIV/0!</v>
      </c>
      <c r="AE29" s="506"/>
      <c r="AF29" s="506"/>
      <c r="AG29" s="506"/>
      <c r="AH29" s="506"/>
      <c r="AI29" s="506"/>
      <c r="AJ29" s="506"/>
      <c r="AK29" s="506"/>
      <c r="AL29" s="506"/>
      <c r="AM29" s="506"/>
      <c r="AN29" s="506"/>
      <c r="AO29" s="506"/>
      <c r="AP29" s="506"/>
      <c r="AQ29" s="506"/>
      <c r="AR29" s="506"/>
      <c r="AS29" s="508"/>
      <c r="AT29" s="508"/>
      <c r="AU29" s="508"/>
      <c r="AV29" s="506"/>
      <c r="AW29" s="506"/>
      <c r="AX29" s="506"/>
      <c r="AY29" s="506"/>
      <c r="AZ29" s="506"/>
      <c r="BA29" s="506"/>
      <c r="BB29" s="506"/>
      <c r="BC29" s="506"/>
      <c r="BD29" s="506"/>
      <c r="BE29" s="506"/>
      <c r="BF29" s="506"/>
      <c r="BG29" s="506"/>
      <c r="BH29" s="506"/>
      <c r="BI29" s="506"/>
      <c r="BJ29" s="506"/>
      <c r="BK29" s="506"/>
      <c r="BL29" s="506"/>
      <c r="BM29" s="506"/>
      <c r="BN29" s="506"/>
      <c r="BO29" s="506"/>
      <c r="BP29" s="506"/>
      <c r="BQ29" s="506"/>
      <c r="BR29" s="506"/>
      <c r="BS29" s="506"/>
      <c r="BT29" s="506"/>
      <c r="BU29" s="506"/>
      <c r="BV29" s="506"/>
      <c r="BW29" s="506"/>
      <c r="BX29" s="506"/>
      <c r="BY29" s="506"/>
      <c r="BZ29" s="506"/>
      <c r="CA29" s="506"/>
      <c r="CB29" s="506"/>
      <c r="CC29" s="506"/>
      <c r="CD29" s="506"/>
      <c r="CE29" s="506"/>
      <c r="CF29" s="506"/>
      <c r="CG29" s="506"/>
      <c r="CH29" s="506"/>
      <c r="CI29" s="506"/>
      <c r="CJ29" s="506"/>
      <c r="CK29" s="506"/>
      <c r="CL29" s="506"/>
      <c r="CM29" s="506"/>
      <c r="CN29" s="506"/>
      <c r="CO29" s="506"/>
      <c r="CP29" s="506"/>
      <c r="CQ29" s="506"/>
      <c r="CR29" s="506"/>
      <c r="CS29" s="506"/>
      <c r="CT29" s="506"/>
      <c r="CU29" s="506"/>
      <c r="CV29" s="506"/>
      <c r="CW29" s="506"/>
      <c r="CX29" s="506"/>
      <c r="CY29" s="506"/>
      <c r="CZ29" s="506"/>
      <c r="DA29" s="506"/>
      <c r="DB29" s="506"/>
      <c r="DC29" s="509"/>
      <c r="DD29" s="4"/>
      <c r="DE29" s="4"/>
      <c r="DF29" s="4"/>
      <c r="DG29" s="4"/>
      <c r="DH29" s="4"/>
    </row>
    <row r="30" spans="1:112">
      <c r="A30" s="505"/>
      <c r="B30" s="506"/>
      <c r="C30" s="521"/>
      <c r="D30" s="521"/>
      <c r="E30" s="521"/>
      <c r="F30" s="508"/>
      <c r="G30" s="513"/>
      <c r="H30" s="518"/>
      <c r="I30" s="508"/>
      <c r="J30" s="522"/>
      <c r="K30" s="518"/>
      <c r="L30" s="508"/>
      <c r="M30" s="508"/>
      <c r="N30" s="522"/>
      <c r="O30" s="508"/>
      <c r="P30" s="508"/>
      <c r="Q30" s="522"/>
      <c r="R30" s="508"/>
      <c r="S30" s="523"/>
      <c r="T30" s="508"/>
      <c r="U30" s="508"/>
      <c r="V30" s="522"/>
      <c r="W30" s="508"/>
      <c r="X30" s="506"/>
      <c r="Y30" s="524"/>
      <c r="Z30" s="508"/>
      <c r="AA30" s="516"/>
      <c r="AB30" s="506"/>
      <c r="AC30" s="508"/>
      <c r="AD30" s="524"/>
      <c r="AE30" s="506"/>
      <c r="AF30" s="506"/>
      <c r="AG30" s="506"/>
      <c r="AH30" s="506"/>
      <c r="AI30" s="506"/>
      <c r="AJ30" s="506"/>
      <c r="AK30" s="506"/>
      <c r="AL30" s="506"/>
      <c r="AM30" s="506"/>
      <c r="AN30" s="506"/>
      <c r="AO30" s="506"/>
      <c r="AP30" s="506"/>
      <c r="AQ30" s="506"/>
      <c r="AR30" s="506"/>
      <c r="AS30" s="508"/>
      <c r="AT30" s="508"/>
      <c r="AU30" s="508"/>
      <c r="AV30" s="506"/>
      <c r="AW30" s="506"/>
      <c r="AX30" s="506"/>
      <c r="AY30" s="506"/>
      <c r="AZ30" s="506"/>
      <c r="BA30" s="506"/>
      <c r="BB30" s="506"/>
      <c r="BC30" s="506"/>
      <c r="BD30" s="506"/>
      <c r="BE30" s="506"/>
      <c r="BF30" s="506"/>
      <c r="BG30" s="506"/>
      <c r="BH30" s="506"/>
      <c r="BI30" s="506"/>
      <c r="BJ30" s="506"/>
      <c r="BK30" s="506"/>
      <c r="BL30" s="506"/>
      <c r="BM30" s="506"/>
      <c r="BN30" s="506"/>
      <c r="BO30" s="506"/>
      <c r="BP30" s="506"/>
      <c r="BQ30" s="506"/>
      <c r="BR30" s="506"/>
      <c r="BS30" s="506"/>
      <c r="BT30" s="506"/>
      <c r="BU30" s="506"/>
      <c r="BV30" s="506"/>
      <c r="BW30" s="506"/>
      <c r="BX30" s="506"/>
      <c r="BY30" s="506"/>
      <c r="BZ30" s="506"/>
      <c r="CA30" s="506"/>
      <c r="CB30" s="506"/>
      <c r="CC30" s="506"/>
      <c r="CD30" s="506"/>
      <c r="CE30" s="506"/>
      <c r="CF30" s="506"/>
      <c r="CG30" s="506"/>
      <c r="CH30" s="506"/>
      <c r="CI30" s="506"/>
      <c r="CJ30" s="506"/>
      <c r="CK30" s="506"/>
      <c r="CL30" s="506"/>
      <c r="CM30" s="506"/>
      <c r="CN30" s="506"/>
      <c r="CO30" s="506"/>
      <c r="CP30" s="506"/>
      <c r="CQ30" s="506"/>
      <c r="CR30" s="506"/>
      <c r="CS30" s="506"/>
      <c r="CT30" s="506"/>
      <c r="CU30" s="506"/>
      <c r="CV30" s="506"/>
      <c r="CW30" s="506"/>
      <c r="CX30" s="506"/>
      <c r="CY30" s="506"/>
      <c r="CZ30" s="506"/>
      <c r="DA30" s="506"/>
      <c r="DB30" s="506"/>
      <c r="DC30" s="509"/>
      <c r="DD30" s="4"/>
      <c r="DE30" s="4"/>
      <c r="DF30" s="4"/>
      <c r="DG30" s="4"/>
      <c r="DH30" s="4"/>
    </row>
    <row r="31" spans="1:112">
      <c r="A31" s="505"/>
      <c r="B31" s="506"/>
      <c r="C31" s="506"/>
      <c r="D31" s="506"/>
      <c r="E31" s="506"/>
      <c r="F31" s="513"/>
      <c r="G31" s="513"/>
      <c r="H31" s="513"/>
      <c r="I31" s="506"/>
      <c r="J31" s="506"/>
      <c r="K31" s="506"/>
      <c r="L31" s="513"/>
      <c r="M31" s="506"/>
      <c r="N31" s="506"/>
      <c r="O31" s="506"/>
      <c r="P31" s="513"/>
      <c r="Q31" s="513"/>
      <c r="R31" s="513"/>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6"/>
      <c r="AS31" s="508"/>
      <c r="AT31" s="508"/>
      <c r="AU31" s="508"/>
      <c r="AV31" s="506"/>
      <c r="AW31" s="506"/>
      <c r="AX31" s="506"/>
      <c r="AY31" s="506"/>
      <c r="AZ31" s="506"/>
      <c r="BA31" s="506"/>
      <c r="BB31" s="506"/>
      <c r="BC31" s="506"/>
      <c r="BD31" s="506"/>
      <c r="BE31" s="506"/>
      <c r="BF31" s="506"/>
      <c r="BG31" s="506"/>
      <c r="BH31" s="506"/>
      <c r="BI31" s="506"/>
      <c r="BJ31" s="506"/>
      <c r="BK31" s="506"/>
      <c r="BL31" s="506"/>
      <c r="BM31" s="506"/>
      <c r="BN31" s="506"/>
      <c r="BO31" s="506"/>
      <c r="BP31" s="506"/>
      <c r="BQ31" s="506"/>
      <c r="BR31" s="506"/>
      <c r="BS31" s="506"/>
      <c r="BT31" s="506"/>
      <c r="BU31" s="506"/>
      <c r="BV31" s="506"/>
      <c r="BW31" s="506"/>
      <c r="BX31" s="506"/>
      <c r="BY31" s="506"/>
      <c r="BZ31" s="506"/>
      <c r="CA31" s="506"/>
      <c r="CB31" s="506"/>
      <c r="CC31" s="506"/>
      <c r="CD31" s="506"/>
      <c r="CE31" s="506"/>
      <c r="CF31" s="506"/>
      <c r="CG31" s="506"/>
      <c r="CH31" s="506"/>
      <c r="CI31" s="506"/>
      <c r="CJ31" s="506"/>
      <c r="CK31" s="506"/>
      <c r="CL31" s="506"/>
      <c r="CM31" s="506"/>
      <c r="CN31" s="506"/>
      <c r="CO31" s="506"/>
      <c r="CP31" s="506"/>
      <c r="CQ31" s="506"/>
      <c r="CR31" s="506"/>
      <c r="CS31" s="506"/>
      <c r="CT31" s="506"/>
      <c r="CU31" s="506"/>
      <c r="CV31" s="506"/>
      <c r="CW31" s="506"/>
      <c r="CX31" s="506"/>
      <c r="CY31" s="506"/>
      <c r="CZ31" s="506"/>
      <c r="DA31" s="506"/>
      <c r="DB31" s="506"/>
      <c r="DC31" s="509"/>
      <c r="DD31" s="4"/>
      <c r="DE31" s="4"/>
      <c r="DF31" s="4"/>
      <c r="DG31" s="4"/>
      <c r="DH31" s="4"/>
    </row>
    <row r="32" spans="1:112">
      <c r="A32" s="505"/>
      <c r="B32" s="987" t="s">
        <v>813</v>
      </c>
      <c r="C32" s="506"/>
      <c r="D32" s="506"/>
      <c r="E32" s="506"/>
      <c r="F32" s="513"/>
      <c r="G32" s="513"/>
      <c r="H32" s="513"/>
      <c r="I32" s="506"/>
      <c r="J32" s="506"/>
      <c r="K32" s="506"/>
      <c r="L32" s="513"/>
      <c r="M32" s="506"/>
      <c r="N32" s="506"/>
      <c r="O32" s="506"/>
      <c r="P32" s="513"/>
      <c r="Q32" s="513"/>
      <c r="R32" s="513"/>
      <c r="S32" s="506"/>
      <c r="T32" s="506"/>
      <c r="U32" s="506"/>
      <c r="V32" s="506"/>
      <c r="W32" s="506"/>
      <c r="X32" s="506"/>
      <c r="Y32" s="506"/>
      <c r="Z32" s="506"/>
      <c r="AA32" s="506"/>
      <c r="AB32" s="506"/>
      <c r="AC32" s="506"/>
      <c r="AD32" s="506"/>
      <c r="AE32" s="506"/>
      <c r="AF32" s="506"/>
      <c r="AG32" s="506"/>
      <c r="AH32" s="506"/>
      <c r="AI32" s="506"/>
      <c r="AJ32" s="506"/>
      <c r="AK32" s="506"/>
      <c r="AL32" s="506"/>
      <c r="AM32" s="506"/>
      <c r="AN32" s="506"/>
      <c r="AO32" s="506"/>
      <c r="AP32" s="506"/>
      <c r="AQ32" s="506"/>
      <c r="AR32" s="506"/>
      <c r="AS32" s="508"/>
      <c r="AT32" s="508"/>
      <c r="AU32" s="508"/>
      <c r="AV32" s="506"/>
      <c r="AW32" s="506"/>
      <c r="AX32" s="506"/>
      <c r="AY32" s="506"/>
      <c r="AZ32" s="506"/>
      <c r="BA32" s="506"/>
      <c r="BB32" s="506"/>
      <c r="BC32" s="506"/>
      <c r="BD32" s="506"/>
      <c r="BE32" s="506"/>
      <c r="BF32" s="506"/>
      <c r="BG32" s="506"/>
      <c r="BH32" s="506"/>
      <c r="BI32" s="506"/>
      <c r="BJ32" s="506"/>
      <c r="BK32" s="506"/>
      <c r="BL32" s="506"/>
      <c r="BM32" s="506"/>
      <c r="BN32" s="506"/>
      <c r="BO32" s="506"/>
      <c r="BP32" s="506"/>
      <c r="BQ32" s="506"/>
      <c r="BR32" s="506"/>
      <c r="BS32" s="506"/>
      <c r="BT32" s="506"/>
      <c r="BU32" s="506"/>
      <c r="BV32" s="506"/>
      <c r="BW32" s="506"/>
      <c r="BX32" s="506"/>
      <c r="BY32" s="506"/>
      <c r="BZ32" s="506"/>
      <c r="CA32" s="506"/>
      <c r="CB32" s="506"/>
      <c r="CC32" s="506"/>
      <c r="CD32" s="506"/>
      <c r="CE32" s="506"/>
      <c r="CF32" s="506"/>
      <c r="CG32" s="506"/>
      <c r="CH32" s="506"/>
      <c r="CI32" s="506"/>
      <c r="CJ32" s="506"/>
      <c r="CK32" s="506"/>
      <c r="CL32" s="506"/>
      <c r="CM32" s="506"/>
      <c r="CN32" s="506"/>
      <c r="CO32" s="506"/>
      <c r="CP32" s="506"/>
      <c r="CQ32" s="506"/>
      <c r="CR32" s="506"/>
      <c r="CS32" s="506"/>
      <c r="CT32" s="506"/>
      <c r="CU32" s="506"/>
      <c r="CV32" s="506"/>
      <c r="CW32" s="506"/>
      <c r="CX32" s="506"/>
      <c r="CY32" s="506"/>
      <c r="CZ32" s="506"/>
      <c r="DA32" s="506"/>
      <c r="DB32" s="506"/>
      <c r="DC32" s="509"/>
      <c r="DD32" s="4"/>
      <c r="DE32" s="4"/>
      <c r="DF32" s="4"/>
      <c r="DG32" s="4"/>
      <c r="DH32" s="4"/>
    </row>
    <row r="33" spans="1:112">
      <c r="A33" s="505"/>
      <c r="B33" s="987"/>
      <c r="C33" s="506"/>
      <c r="D33" s="506"/>
      <c r="E33" s="506"/>
      <c r="F33" s="513"/>
      <c r="G33" s="513"/>
      <c r="H33" s="513"/>
      <c r="I33" s="506"/>
      <c r="J33" s="506"/>
      <c r="K33" s="506"/>
      <c r="L33" s="513"/>
      <c r="M33" s="506"/>
      <c r="N33" s="506"/>
      <c r="O33" s="506"/>
      <c r="P33" s="513"/>
      <c r="Q33" s="513"/>
      <c r="R33" s="513"/>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c r="AS33" s="508"/>
      <c r="AT33" s="508"/>
      <c r="AU33" s="508"/>
      <c r="AV33" s="506"/>
      <c r="AW33" s="506"/>
      <c r="AX33" s="506"/>
      <c r="AY33" s="506"/>
      <c r="AZ33" s="506"/>
      <c r="BA33" s="506"/>
      <c r="BB33" s="506"/>
      <c r="BC33" s="506"/>
      <c r="BD33" s="506"/>
      <c r="BE33" s="506"/>
      <c r="BF33" s="506"/>
      <c r="BG33" s="506"/>
      <c r="BH33" s="506"/>
      <c r="BI33" s="506"/>
      <c r="BJ33" s="506"/>
      <c r="BK33" s="506"/>
      <c r="BL33" s="506"/>
      <c r="BM33" s="506"/>
      <c r="BN33" s="506"/>
      <c r="BO33" s="506"/>
      <c r="BP33" s="506"/>
      <c r="BQ33" s="506"/>
      <c r="BR33" s="506"/>
      <c r="BS33" s="506"/>
      <c r="BT33" s="506"/>
      <c r="BU33" s="506"/>
      <c r="BV33" s="506"/>
      <c r="BW33" s="506"/>
      <c r="BX33" s="506"/>
      <c r="BY33" s="506"/>
      <c r="BZ33" s="506"/>
      <c r="CA33" s="506"/>
      <c r="CB33" s="506"/>
      <c r="CC33" s="506"/>
      <c r="CD33" s="506"/>
      <c r="CE33" s="506"/>
      <c r="CF33" s="506"/>
      <c r="CG33" s="506"/>
      <c r="CH33" s="506"/>
      <c r="CI33" s="506"/>
      <c r="CJ33" s="506"/>
      <c r="CK33" s="506"/>
      <c r="CL33" s="506"/>
      <c r="CM33" s="506"/>
      <c r="CN33" s="506"/>
      <c r="CO33" s="506"/>
      <c r="CP33" s="506"/>
      <c r="CQ33" s="506"/>
      <c r="CR33" s="506"/>
      <c r="CS33" s="506"/>
      <c r="CT33" s="506"/>
      <c r="CU33" s="506"/>
      <c r="CV33" s="506"/>
      <c r="CW33" s="506"/>
      <c r="CX33" s="506"/>
      <c r="CY33" s="506"/>
      <c r="CZ33" s="506"/>
      <c r="DA33" s="506"/>
      <c r="DB33" s="506"/>
      <c r="DC33" s="509"/>
      <c r="DD33" s="4"/>
      <c r="DE33" s="4"/>
      <c r="DF33" s="4"/>
      <c r="DG33" s="4"/>
      <c r="DH33" s="4"/>
    </row>
    <row r="34" spans="1:112">
      <c r="A34" s="505"/>
      <c r="B34" s="987"/>
      <c r="C34" s="506"/>
      <c r="D34" s="506"/>
      <c r="E34" s="506"/>
      <c r="F34" s="513"/>
      <c r="G34" s="513"/>
      <c r="H34" s="513"/>
      <c r="I34" s="506"/>
      <c r="J34" s="506"/>
      <c r="K34" s="506"/>
      <c r="L34" s="513"/>
      <c r="M34" s="506"/>
      <c r="N34" s="506"/>
      <c r="O34" s="506"/>
      <c r="P34" s="513"/>
      <c r="Q34" s="513"/>
      <c r="R34" s="513"/>
      <c r="S34" s="506"/>
      <c r="T34" s="506"/>
      <c r="U34" s="506"/>
      <c r="V34" s="506"/>
      <c r="W34" s="506"/>
      <c r="X34" s="506"/>
      <c r="Y34" s="506"/>
      <c r="Z34" s="506"/>
      <c r="AA34" s="506"/>
      <c r="AB34" s="506"/>
      <c r="AC34" s="506"/>
      <c r="AD34" s="506"/>
      <c r="AE34" s="506"/>
      <c r="AF34" s="506"/>
      <c r="AG34" s="506"/>
      <c r="AH34" s="506"/>
      <c r="AI34" s="506"/>
      <c r="AJ34" s="506"/>
      <c r="AK34" s="506"/>
      <c r="AL34" s="506"/>
      <c r="AM34" s="506"/>
      <c r="AN34" s="506"/>
      <c r="AO34" s="506"/>
      <c r="AP34" s="506"/>
      <c r="AQ34" s="506"/>
      <c r="AR34" s="506"/>
      <c r="AS34" s="508"/>
      <c r="AT34" s="508"/>
      <c r="AU34" s="508"/>
      <c r="AV34" s="506"/>
      <c r="AW34" s="506"/>
      <c r="AX34" s="506"/>
      <c r="AY34" s="506"/>
      <c r="AZ34" s="506"/>
      <c r="BA34" s="506"/>
      <c r="BB34" s="506"/>
      <c r="BC34" s="506"/>
      <c r="BD34" s="506"/>
      <c r="BE34" s="506"/>
      <c r="BF34" s="506"/>
      <c r="BG34" s="506"/>
      <c r="BH34" s="506"/>
      <c r="BI34" s="506"/>
      <c r="BJ34" s="506"/>
      <c r="BK34" s="506"/>
      <c r="BL34" s="506"/>
      <c r="BM34" s="506"/>
      <c r="BN34" s="506"/>
      <c r="BO34" s="506"/>
      <c r="BP34" s="506"/>
      <c r="BQ34" s="506"/>
      <c r="BR34" s="506"/>
      <c r="BS34" s="506"/>
      <c r="BT34" s="506"/>
      <c r="BU34" s="506"/>
      <c r="BV34" s="506"/>
      <c r="BW34" s="506"/>
      <c r="BX34" s="506"/>
      <c r="BY34" s="506"/>
      <c r="BZ34" s="506"/>
      <c r="CA34" s="506"/>
      <c r="CB34" s="506"/>
      <c r="CC34" s="506"/>
      <c r="CD34" s="506"/>
      <c r="CE34" s="506"/>
      <c r="CF34" s="506"/>
      <c r="CG34" s="506"/>
      <c r="CH34" s="506"/>
      <c r="CI34" s="506"/>
      <c r="CJ34" s="506"/>
      <c r="CK34" s="506"/>
      <c r="CL34" s="506"/>
      <c r="CM34" s="506"/>
      <c r="CN34" s="506"/>
      <c r="CO34" s="506"/>
      <c r="CP34" s="506"/>
      <c r="CQ34" s="506"/>
      <c r="CR34" s="506"/>
      <c r="CS34" s="506"/>
      <c r="CT34" s="506"/>
      <c r="CU34" s="506"/>
      <c r="CV34" s="506"/>
      <c r="CW34" s="506"/>
      <c r="CX34" s="506"/>
      <c r="CY34" s="506"/>
      <c r="CZ34" s="506"/>
      <c r="DA34" s="506"/>
      <c r="DB34" s="506"/>
      <c r="DC34" s="509"/>
      <c r="DD34" s="4"/>
      <c r="DE34" s="4"/>
      <c r="DF34" s="4"/>
      <c r="DG34" s="4"/>
      <c r="DH34" s="4"/>
    </row>
    <row r="35" spans="1:112">
      <c r="A35" s="505"/>
      <c r="B35" s="987"/>
      <c r="C35" s="506"/>
      <c r="D35" s="506"/>
      <c r="E35" s="506"/>
      <c r="F35" s="513"/>
      <c r="G35" s="513"/>
      <c r="H35" s="513"/>
      <c r="I35" s="506"/>
      <c r="J35" s="506"/>
      <c r="K35" s="506"/>
      <c r="L35" s="513"/>
      <c r="M35" s="506"/>
      <c r="N35" s="506"/>
      <c r="O35" s="506"/>
      <c r="P35" s="513"/>
      <c r="Q35" s="513"/>
      <c r="R35" s="513"/>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8"/>
      <c r="AT35" s="508"/>
      <c r="AU35" s="508"/>
      <c r="AV35" s="506"/>
      <c r="AW35" s="506"/>
      <c r="AX35" s="506"/>
      <c r="AY35" s="506"/>
      <c r="AZ35" s="506"/>
      <c r="BA35" s="506"/>
      <c r="BB35" s="506"/>
      <c r="BC35" s="506"/>
      <c r="BD35" s="506"/>
      <c r="BE35" s="506"/>
      <c r="BF35" s="506"/>
      <c r="BG35" s="506"/>
      <c r="BH35" s="506"/>
      <c r="BI35" s="506"/>
      <c r="BJ35" s="506"/>
      <c r="BK35" s="506"/>
      <c r="BL35" s="506"/>
      <c r="BM35" s="506"/>
      <c r="BN35" s="506"/>
      <c r="BO35" s="506"/>
      <c r="BP35" s="506"/>
      <c r="BQ35" s="506"/>
      <c r="BR35" s="506"/>
      <c r="BS35" s="506"/>
      <c r="BT35" s="506"/>
      <c r="BU35" s="506"/>
      <c r="BV35" s="506"/>
      <c r="BW35" s="506"/>
      <c r="BX35" s="506"/>
      <c r="BY35" s="506"/>
      <c r="BZ35" s="506"/>
      <c r="CA35" s="506"/>
      <c r="CB35" s="506"/>
      <c r="CC35" s="506"/>
      <c r="CD35" s="506"/>
      <c r="CE35" s="506"/>
      <c r="CF35" s="506"/>
      <c r="CG35" s="506"/>
      <c r="CH35" s="506"/>
      <c r="CI35" s="506"/>
      <c r="CJ35" s="506"/>
      <c r="CK35" s="506"/>
      <c r="CL35" s="506"/>
      <c r="CM35" s="506"/>
      <c r="CN35" s="506"/>
      <c r="CO35" s="506"/>
      <c r="CP35" s="506"/>
      <c r="CQ35" s="506"/>
      <c r="CR35" s="506"/>
      <c r="CS35" s="506"/>
      <c r="CT35" s="506"/>
      <c r="CU35" s="506"/>
      <c r="CV35" s="506"/>
      <c r="CW35" s="506"/>
      <c r="CX35" s="506"/>
      <c r="CY35" s="506"/>
      <c r="CZ35" s="506"/>
      <c r="DA35" s="506"/>
      <c r="DB35" s="506"/>
      <c r="DC35" s="509"/>
      <c r="DD35" s="4"/>
      <c r="DE35" s="4"/>
      <c r="DF35" s="4"/>
      <c r="DG35" s="4"/>
      <c r="DH35" s="4"/>
    </row>
    <row r="36" spans="1:112">
      <c r="A36" s="505"/>
      <c r="B36" s="987"/>
      <c r="C36" s="506"/>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6"/>
      <c r="AK36" s="506"/>
      <c r="AL36" s="506"/>
      <c r="AM36" s="506"/>
      <c r="AN36" s="506"/>
      <c r="AO36" s="506"/>
      <c r="AP36" s="506"/>
      <c r="AQ36" s="506"/>
      <c r="AR36" s="506"/>
      <c r="AS36" s="508"/>
      <c r="AT36" s="508"/>
      <c r="AU36" s="508"/>
      <c r="AV36" s="506"/>
      <c r="AW36" s="506"/>
      <c r="AX36" s="506"/>
      <c r="AY36" s="506"/>
      <c r="AZ36" s="506"/>
      <c r="BA36" s="506"/>
      <c r="BB36" s="506"/>
      <c r="BC36" s="506"/>
      <c r="BD36" s="506"/>
      <c r="BE36" s="506"/>
      <c r="BF36" s="506"/>
      <c r="BG36" s="506"/>
      <c r="BH36" s="506"/>
      <c r="BI36" s="506"/>
      <c r="BJ36" s="506"/>
      <c r="BK36" s="506"/>
      <c r="BL36" s="506"/>
      <c r="BM36" s="506"/>
      <c r="BN36" s="506"/>
      <c r="BO36" s="506"/>
      <c r="BP36" s="506"/>
      <c r="BQ36" s="506"/>
      <c r="BR36" s="506"/>
      <c r="BS36" s="506"/>
      <c r="BT36" s="506"/>
      <c r="BU36" s="506"/>
      <c r="BV36" s="506"/>
      <c r="BW36" s="506"/>
      <c r="BX36" s="506"/>
      <c r="BY36" s="506"/>
      <c r="BZ36" s="506"/>
      <c r="CA36" s="506"/>
      <c r="CB36" s="506"/>
      <c r="CC36" s="506"/>
      <c r="CD36" s="506"/>
      <c r="CE36" s="506"/>
      <c r="CF36" s="506"/>
      <c r="CG36" s="506"/>
      <c r="CH36" s="506"/>
      <c r="CI36" s="506"/>
      <c r="CJ36" s="506"/>
      <c r="CK36" s="506"/>
      <c r="CL36" s="506"/>
      <c r="CM36" s="506"/>
      <c r="CN36" s="506"/>
      <c r="CO36" s="506"/>
      <c r="CP36" s="506"/>
      <c r="CQ36" s="506"/>
      <c r="CR36" s="506"/>
      <c r="CS36" s="506"/>
      <c r="CT36" s="506"/>
      <c r="CU36" s="506"/>
      <c r="CV36" s="506"/>
      <c r="CW36" s="506"/>
      <c r="CX36" s="506"/>
      <c r="CY36" s="506"/>
      <c r="CZ36" s="506"/>
      <c r="DA36" s="506"/>
      <c r="DB36" s="506"/>
      <c r="DC36" s="509"/>
      <c r="DD36" s="4"/>
      <c r="DE36" s="4"/>
      <c r="DF36" s="4"/>
      <c r="DG36" s="4"/>
      <c r="DH36" s="4"/>
    </row>
    <row r="37" spans="1:112">
      <c r="A37" s="505"/>
      <c r="B37" s="987"/>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8"/>
      <c r="AT37" s="508"/>
      <c r="AU37" s="508"/>
      <c r="AV37" s="506"/>
      <c r="AW37" s="506"/>
      <c r="AX37" s="506"/>
      <c r="AY37" s="506"/>
      <c r="AZ37" s="506"/>
      <c r="BA37" s="506"/>
      <c r="BB37" s="506"/>
      <c r="BC37" s="506"/>
      <c r="BD37" s="506"/>
      <c r="BE37" s="506"/>
      <c r="BF37" s="506"/>
      <c r="BG37" s="506"/>
      <c r="BH37" s="506"/>
      <c r="BI37" s="506"/>
      <c r="BJ37" s="506"/>
      <c r="BK37" s="506"/>
      <c r="BL37" s="506"/>
      <c r="BM37" s="506"/>
      <c r="BN37" s="506"/>
      <c r="BO37" s="506"/>
      <c r="BP37" s="506"/>
      <c r="BQ37" s="506"/>
      <c r="BR37" s="506"/>
      <c r="BS37" s="506"/>
      <c r="BT37" s="506"/>
      <c r="BU37" s="506"/>
      <c r="BV37" s="506"/>
      <c r="BW37" s="506"/>
      <c r="BX37" s="506"/>
      <c r="BY37" s="506"/>
      <c r="BZ37" s="506"/>
      <c r="CA37" s="506"/>
      <c r="CB37" s="506"/>
      <c r="CC37" s="506"/>
      <c r="CD37" s="506"/>
      <c r="CE37" s="506"/>
      <c r="CF37" s="506"/>
      <c r="CG37" s="506"/>
      <c r="CH37" s="506"/>
      <c r="CI37" s="506"/>
      <c r="CJ37" s="506"/>
      <c r="CK37" s="506"/>
      <c r="CL37" s="506"/>
      <c r="CM37" s="506"/>
      <c r="CN37" s="506"/>
      <c r="CO37" s="506"/>
      <c r="CP37" s="506"/>
      <c r="CQ37" s="506"/>
      <c r="CR37" s="506"/>
      <c r="CS37" s="506"/>
      <c r="CT37" s="506"/>
      <c r="CU37" s="506"/>
      <c r="CV37" s="506"/>
      <c r="CW37" s="506"/>
      <c r="CX37" s="506"/>
      <c r="CY37" s="506"/>
      <c r="CZ37" s="506"/>
      <c r="DA37" s="506"/>
      <c r="DB37" s="506"/>
      <c r="DC37" s="509"/>
      <c r="DD37" s="4"/>
      <c r="DE37" s="4"/>
      <c r="DF37" s="4"/>
      <c r="DG37" s="4"/>
      <c r="DH37" s="4"/>
    </row>
    <row r="38" spans="1:112">
      <c r="A38" s="505"/>
      <c r="B38" s="987"/>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6"/>
      <c r="AR38" s="506"/>
      <c r="AS38" s="508"/>
      <c r="AT38" s="508"/>
      <c r="AU38" s="508"/>
      <c r="AV38" s="506"/>
      <c r="AW38" s="506"/>
      <c r="AX38" s="506"/>
      <c r="AY38" s="506"/>
      <c r="AZ38" s="506"/>
      <c r="BA38" s="506"/>
      <c r="BB38" s="506"/>
      <c r="BC38" s="506"/>
      <c r="BD38" s="506"/>
      <c r="BE38" s="506"/>
      <c r="BF38" s="506"/>
      <c r="BG38" s="506"/>
      <c r="BH38" s="506"/>
      <c r="BI38" s="506"/>
      <c r="BJ38" s="506"/>
      <c r="BK38" s="506"/>
      <c r="BL38" s="506"/>
      <c r="BM38" s="506"/>
      <c r="BN38" s="506"/>
      <c r="BO38" s="506"/>
      <c r="BP38" s="506"/>
      <c r="BQ38" s="506"/>
      <c r="BR38" s="506"/>
      <c r="BS38" s="506"/>
      <c r="BT38" s="506"/>
      <c r="BU38" s="506"/>
      <c r="BV38" s="506"/>
      <c r="BW38" s="506"/>
      <c r="BX38" s="506"/>
      <c r="BY38" s="506"/>
      <c r="BZ38" s="506"/>
      <c r="CA38" s="506"/>
      <c r="CB38" s="506"/>
      <c r="CC38" s="506"/>
      <c r="CD38" s="506"/>
      <c r="CE38" s="506"/>
      <c r="CF38" s="506"/>
      <c r="CG38" s="506"/>
      <c r="CH38" s="506"/>
      <c r="CI38" s="506"/>
      <c r="CJ38" s="506"/>
      <c r="CK38" s="506"/>
      <c r="CL38" s="506"/>
      <c r="CM38" s="506"/>
      <c r="CN38" s="506"/>
      <c r="CO38" s="506"/>
      <c r="CP38" s="506"/>
      <c r="CQ38" s="506"/>
      <c r="CR38" s="506"/>
      <c r="CS38" s="506"/>
      <c r="CT38" s="506"/>
      <c r="CU38" s="506"/>
      <c r="CV38" s="506"/>
      <c r="CW38" s="506"/>
      <c r="CX38" s="506"/>
      <c r="CY38" s="506"/>
      <c r="CZ38" s="506"/>
      <c r="DA38" s="506"/>
      <c r="DB38" s="506"/>
      <c r="DC38" s="509"/>
      <c r="DD38" s="4"/>
      <c r="DE38" s="4"/>
      <c r="DF38" s="4"/>
      <c r="DG38" s="4"/>
      <c r="DH38" s="4"/>
    </row>
    <row r="39" spans="1:112">
      <c r="A39" s="505"/>
      <c r="B39" s="987"/>
      <c r="C39" s="506"/>
      <c r="D39" s="506"/>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6"/>
      <c r="AQ39" s="506"/>
      <c r="AR39" s="506"/>
      <c r="AS39" s="508"/>
      <c r="AT39" s="508"/>
      <c r="AU39" s="508"/>
      <c r="AV39" s="506"/>
      <c r="AW39" s="506"/>
      <c r="AX39" s="506"/>
      <c r="AY39" s="506"/>
      <c r="AZ39" s="506"/>
      <c r="BA39" s="506"/>
      <c r="BB39" s="506"/>
      <c r="BC39" s="506"/>
      <c r="BD39" s="506"/>
      <c r="BE39" s="506"/>
      <c r="BF39" s="506"/>
      <c r="BG39" s="506"/>
      <c r="BH39" s="506"/>
      <c r="BI39" s="506"/>
      <c r="BJ39" s="506"/>
      <c r="BK39" s="506"/>
      <c r="BL39" s="506"/>
      <c r="BM39" s="506"/>
      <c r="BN39" s="506"/>
      <c r="BO39" s="506"/>
      <c r="BP39" s="506"/>
      <c r="BQ39" s="506"/>
      <c r="BR39" s="506"/>
      <c r="BS39" s="506"/>
      <c r="BT39" s="506"/>
      <c r="BU39" s="506"/>
      <c r="BV39" s="506"/>
      <c r="BW39" s="506"/>
      <c r="BX39" s="506"/>
      <c r="BY39" s="506"/>
      <c r="BZ39" s="506"/>
      <c r="CA39" s="506"/>
      <c r="CB39" s="506"/>
      <c r="CC39" s="506"/>
      <c r="CD39" s="506"/>
      <c r="CE39" s="506"/>
      <c r="CF39" s="506"/>
      <c r="CG39" s="506"/>
      <c r="CH39" s="506"/>
      <c r="CI39" s="506"/>
      <c r="CJ39" s="506"/>
      <c r="CK39" s="506"/>
      <c r="CL39" s="506"/>
      <c r="CM39" s="506"/>
      <c r="CN39" s="506"/>
      <c r="CO39" s="506"/>
      <c r="CP39" s="506"/>
      <c r="CQ39" s="506"/>
      <c r="CR39" s="506"/>
      <c r="CS39" s="506"/>
      <c r="CT39" s="506"/>
      <c r="CU39" s="506"/>
      <c r="CV39" s="506"/>
      <c r="CW39" s="506"/>
      <c r="CX39" s="506"/>
      <c r="CY39" s="506"/>
      <c r="CZ39" s="506"/>
      <c r="DA39" s="506"/>
      <c r="DB39" s="506"/>
      <c r="DC39" s="509"/>
      <c r="DD39" s="4"/>
      <c r="DE39" s="4"/>
      <c r="DF39" s="4"/>
      <c r="DG39" s="4"/>
      <c r="DH39" s="4"/>
    </row>
    <row r="40" spans="1:112">
      <c r="A40" s="505"/>
      <c r="B40" s="508"/>
      <c r="C40" s="506"/>
      <c r="D40" s="506"/>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506"/>
      <c r="AM40" s="506"/>
      <c r="AN40" s="506"/>
      <c r="AO40" s="506"/>
      <c r="AP40" s="506"/>
      <c r="AQ40" s="506"/>
      <c r="AR40" s="506"/>
      <c r="AS40" s="508"/>
      <c r="AT40" s="508"/>
      <c r="AU40" s="508"/>
      <c r="AV40" s="506"/>
      <c r="AW40" s="506"/>
      <c r="AX40" s="506"/>
      <c r="AY40" s="506"/>
      <c r="AZ40" s="506"/>
      <c r="BA40" s="506"/>
      <c r="BB40" s="506"/>
      <c r="BC40" s="506"/>
      <c r="BD40" s="506"/>
      <c r="BE40" s="506"/>
      <c r="BF40" s="506"/>
      <c r="BG40" s="506"/>
      <c r="BH40" s="506"/>
      <c r="BI40" s="506"/>
      <c r="BJ40" s="506"/>
      <c r="BK40" s="506"/>
      <c r="BL40" s="506"/>
      <c r="BM40" s="506"/>
      <c r="BN40" s="506"/>
      <c r="BO40" s="506"/>
      <c r="BP40" s="506"/>
      <c r="BQ40" s="506"/>
      <c r="BR40" s="506"/>
      <c r="BS40" s="506"/>
      <c r="BT40" s="506"/>
      <c r="BU40" s="506"/>
      <c r="BV40" s="506"/>
      <c r="BW40" s="506"/>
      <c r="BX40" s="506"/>
      <c r="BY40" s="506"/>
      <c r="BZ40" s="506"/>
      <c r="CA40" s="506"/>
      <c r="CB40" s="506"/>
      <c r="CC40" s="506"/>
      <c r="CD40" s="506"/>
      <c r="CE40" s="506"/>
      <c r="CF40" s="506"/>
      <c r="CG40" s="506"/>
      <c r="CH40" s="506"/>
      <c r="CI40" s="506"/>
      <c r="CJ40" s="506"/>
      <c r="CK40" s="506"/>
      <c r="CL40" s="506"/>
      <c r="CM40" s="506"/>
      <c r="CN40" s="506"/>
      <c r="CO40" s="506"/>
      <c r="CP40" s="506"/>
      <c r="CQ40" s="506"/>
      <c r="CR40" s="506"/>
      <c r="CS40" s="506"/>
      <c r="CT40" s="506"/>
      <c r="CU40" s="506"/>
      <c r="CV40" s="506"/>
      <c r="CW40" s="506"/>
      <c r="CX40" s="506"/>
      <c r="CY40" s="506"/>
      <c r="CZ40" s="506"/>
      <c r="DA40" s="506"/>
      <c r="DB40" s="506"/>
      <c r="DC40" s="509"/>
      <c r="DD40" s="4"/>
      <c r="DE40" s="4"/>
      <c r="DF40" s="4"/>
      <c r="DG40" s="4"/>
      <c r="DH40" s="4"/>
    </row>
    <row r="41" spans="1:112" ht="13.5" thickBot="1">
      <c r="A41" s="505"/>
      <c r="B41" s="508"/>
      <c r="C41" s="506"/>
      <c r="D41" s="525"/>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c r="AM41" s="506"/>
      <c r="AN41" s="506"/>
      <c r="AO41" s="506"/>
      <c r="AP41" s="506"/>
      <c r="AQ41" s="506"/>
      <c r="AR41" s="506"/>
      <c r="AS41" s="508"/>
      <c r="AT41" s="508"/>
      <c r="AU41" s="508"/>
      <c r="AV41" s="506"/>
      <c r="AW41" s="506"/>
      <c r="AX41" s="506"/>
      <c r="AY41" s="506"/>
      <c r="AZ41" s="506"/>
      <c r="BA41" s="506"/>
      <c r="BB41" s="506"/>
      <c r="BC41" s="506"/>
      <c r="BD41" s="506"/>
      <c r="BE41" s="506"/>
      <c r="BF41" s="506"/>
      <c r="BG41" s="506"/>
      <c r="BH41" s="506"/>
      <c r="BI41" s="506"/>
      <c r="BJ41" s="506"/>
      <c r="BK41" s="506"/>
      <c r="BL41" s="506"/>
      <c r="BM41" s="506"/>
      <c r="BN41" s="506"/>
      <c r="BO41" s="506"/>
      <c r="BP41" s="506"/>
      <c r="BQ41" s="506"/>
      <c r="BR41" s="506"/>
      <c r="BS41" s="506"/>
      <c r="BT41" s="506"/>
      <c r="BU41" s="506"/>
      <c r="BV41" s="506"/>
      <c r="BW41" s="506"/>
      <c r="BX41" s="506"/>
      <c r="BY41" s="506"/>
      <c r="BZ41" s="506"/>
      <c r="CA41" s="506"/>
      <c r="CB41" s="506"/>
      <c r="CC41" s="506"/>
      <c r="CD41" s="506"/>
      <c r="CE41" s="506"/>
      <c r="CF41" s="506"/>
      <c r="CG41" s="506"/>
      <c r="CH41" s="506"/>
      <c r="CI41" s="506"/>
      <c r="CJ41" s="506"/>
      <c r="CK41" s="506"/>
      <c r="CL41" s="506"/>
      <c r="CM41" s="506"/>
      <c r="CN41" s="506"/>
      <c r="CO41" s="506"/>
      <c r="CP41" s="506"/>
      <c r="CQ41" s="506"/>
      <c r="CR41" s="506"/>
      <c r="CS41" s="506"/>
      <c r="CT41" s="506"/>
      <c r="CU41" s="506"/>
      <c r="CV41" s="506"/>
      <c r="CW41" s="506"/>
      <c r="CX41" s="506"/>
      <c r="CY41" s="506"/>
      <c r="CZ41" s="506"/>
      <c r="DA41" s="506"/>
      <c r="DB41" s="506"/>
      <c r="DC41" s="509"/>
      <c r="DD41" s="4"/>
      <c r="DE41" s="4"/>
      <c r="DF41" s="4"/>
      <c r="DG41" s="4"/>
      <c r="DH41" s="4"/>
    </row>
    <row r="42" spans="1:112" ht="13.5" thickBot="1">
      <c r="A42" s="505"/>
      <c r="B42" s="508"/>
      <c r="C42" s="506"/>
      <c r="D42" s="525"/>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8"/>
      <c r="AT42" s="508"/>
      <c r="AU42" s="508"/>
      <c r="AV42" s="506"/>
      <c r="AW42" s="506"/>
      <c r="AX42" s="506"/>
      <c r="AY42" s="506"/>
      <c r="AZ42" s="506"/>
      <c r="BA42" s="506"/>
      <c r="BB42" s="506"/>
      <c r="BC42" s="506"/>
      <c r="BD42" s="506"/>
      <c r="BE42" s="506"/>
      <c r="BF42" s="506"/>
      <c r="BG42" s="506"/>
      <c r="BH42" s="506"/>
      <c r="BI42" s="506"/>
      <c r="BJ42" s="506"/>
      <c r="BK42" s="506"/>
      <c r="BL42" s="506"/>
      <c r="BM42" s="506"/>
      <c r="BN42" s="506"/>
      <c r="BO42" s="506"/>
      <c r="BP42" s="506"/>
      <c r="BQ42" s="506"/>
      <c r="BR42" s="506"/>
      <c r="BS42" s="506"/>
      <c r="BT42" s="506"/>
      <c r="BU42" s="506"/>
      <c r="BV42" s="506"/>
      <c r="BW42" s="506"/>
      <c r="BX42" s="506"/>
      <c r="BY42" s="506"/>
      <c r="BZ42" s="506"/>
      <c r="CA42" s="506"/>
      <c r="CB42" s="506"/>
      <c r="CC42" s="506"/>
      <c r="CD42" s="506"/>
      <c r="CE42" s="506"/>
      <c r="CF42" s="506"/>
      <c r="CG42" s="506"/>
      <c r="CH42" s="506"/>
      <c r="CI42" s="506"/>
      <c r="CJ42" s="506"/>
      <c r="CK42" s="506"/>
      <c r="CL42" s="506"/>
      <c r="CM42" s="506"/>
      <c r="CN42" s="506"/>
      <c r="CO42" s="506"/>
      <c r="CP42" s="506"/>
      <c r="CQ42" s="506"/>
      <c r="CR42" s="506"/>
      <c r="CS42" s="506"/>
      <c r="CT42" s="506"/>
      <c r="CU42" s="506"/>
      <c r="CV42" s="506"/>
      <c r="CW42" s="506"/>
      <c r="CX42" s="506"/>
      <c r="CY42" s="506"/>
      <c r="CZ42" s="506"/>
      <c r="DA42" s="506"/>
      <c r="DB42" s="506"/>
      <c r="DC42" s="509"/>
      <c r="DD42" s="4"/>
      <c r="DE42" s="4"/>
      <c r="DF42" s="4"/>
      <c r="DG42" s="4"/>
      <c r="DH42" s="4"/>
    </row>
    <row r="43" spans="1:112" ht="15.75" thickBot="1">
      <c r="A43" s="505"/>
      <c r="B43" s="508"/>
      <c r="C43" s="506"/>
      <c r="D43" s="525"/>
      <c r="E43" s="506"/>
      <c r="F43" s="526" t="s">
        <v>814</v>
      </c>
      <c r="G43" s="527"/>
      <c r="H43" s="527"/>
      <c r="I43" s="527"/>
      <c r="J43" s="527"/>
      <c r="K43" s="527"/>
      <c r="L43" s="527"/>
      <c r="M43" s="527"/>
      <c r="N43" s="527"/>
      <c r="O43" s="527"/>
      <c r="P43" s="527"/>
      <c r="Q43" s="527"/>
      <c r="R43" s="527"/>
      <c r="S43" s="527"/>
      <c r="T43" s="527"/>
      <c r="U43" s="527"/>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8"/>
      <c r="AT43" s="508"/>
      <c r="AU43" s="508"/>
      <c r="AV43" s="506"/>
      <c r="AW43" s="506"/>
      <c r="AX43" s="506"/>
      <c r="AY43" s="506"/>
      <c r="AZ43" s="506"/>
      <c r="BA43" s="506"/>
      <c r="BB43" s="506"/>
      <c r="BC43" s="506"/>
      <c r="BD43" s="506"/>
      <c r="BE43" s="506"/>
      <c r="BF43" s="506"/>
      <c r="BG43" s="506"/>
      <c r="BH43" s="506"/>
      <c r="BI43" s="506"/>
      <c r="BJ43" s="506"/>
      <c r="BK43" s="506"/>
      <c r="BL43" s="506"/>
      <c r="BM43" s="506"/>
      <c r="BN43" s="506"/>
      <c r="BO43" s="506"/>
      <c r="BP43" s="506"/>
      <c r="BQ43" s="506"/>
      <c r="BR43" s="506"/>
      <c r="BS43" s="506"/>
      <c r="BT43" s="506"/>
      <c r="BU43" s="506"/>
      <c r="BV43" s="506"/>
      <c r="BW43" s="506"/>
      <c r="BX43" s="506"/>
      <c r="BY43" s="506"/>
      <c r="BZ43" s="506"/>
      <c r="CA43" s="506"/>
      <c r="CB43" s="506"/>
      <c r="CC43" s="506"/>
      <c r="CD43" s="506"/>
      <c r="CE43" s="506"/>
      <c r="CF43" s="506"/>
      <c r="CG43" s="506"/>
      <c r="CH43" s="506"/>
      <c r="CI43" s="506"/>
      <c r="CJ43" s="506"/>
      <c r="CK43" s="506"/>
      <c r="CL43" s="506"/>
      <c r="CM43" s="506"/>
      <c r="CN43" s="506"/>
      <c r="CO43" s="506"/>
      <c r="CP43" s="506"/>
      <c r="CQ43" s="506"/>
      <c r="CR43" s="506"/>
      <c r="CS43" s="506"/>
      <c r="CT43" s="506"/>
      <c r="CU43" s="506"/>
      <c r="CV43" s="506"/>
      <c r="CW43" s="506"/>
      <c r="CX43" s="506"/>
      <c r="CY43" s="506"/>
      <c r="CZ43" s="506"/>
      <c r="DA43" s="506"/>
      <c r="DB43" s="506"/>
      <c r="DC43" s="509"/>
      <c r="DD43" s="4"/>
      <c r="DE43" s="4"/>
      <c r="DF43" s="4"/>
      <c r="DG43" s="4"/>
      <c r="DH43" s="4"/>
    </row>
    <row r="44" spans="1:112" ht="13.5" thickBot="1">
      <c r="A44" s="505"/>
      <c r="B44" s="508"/>
      <c r="C44" s="525"/>
      <c r="D44" s="525"/>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506"/>
      <c r="AK44" s="506"/>
      <c r="AL44" s="506"/>
      <c r="AM44" s="506"/>
      <c r="AN44" s="506"/>
      <c r="AO44" s="506"/>
      <c r="AP44" s="506"/>
      <c r="AQ44" s="506"/>
      <c r="AR44" s="506"/>
      <c r="AS44" s="508"/>
      <c r="AT44" s="508"/>
      <c r="AU44" s="508"/>
      <c r="AV44" s="506"/>
      <c r="AW44" s="506"/>
      <c r="AX44" s="506"/>
      <c r="AY44" s="506"/>
      <c r="AZ44" s="506"/>
      <c r="BA44" s="506"/>
      <c r="BB44" s="506"/>
      <c r="BC44" s="506"/>
      <c r="BD44" s="506"/>
      <c r="BE44" s="506"/>
      <c r="BF44" s="506"/>
      <c r="BG44" s="506"/>
      <c r="BH44" s="506"/>
      <c r="BI44" s="506"/>
      <c r="BJ44" s="506"/>
      <c r="BK44" s="506"/>
      <c r="BL44" s="506"/>
      <c r="BM44" s="506"/>
      <c r="BN44" s="506"/>
      <c r="BO44" s="506"/>
      <c r="BP44" s="506"/>
      <c r="BQ44" s="506"/>
      <c r="BR44" s="506"/>
      <c r="BS44" s="506"/>
      <c r="BT44" s="506"/>
      <c r="BU44" s="506"/>
      <c r="BV44" s="506"/>
      <c r="BW44" s="506"/>
      <c r="BX44" s="506"/>
      <c r="BY44" s="506"/>
      <c r="BZ44" s="506"/>
      <c r="CA44" s="506"/>
      <c r="CB44" s="506"/>
      <c r="CC44" s="506"/>
      <c r="CD44" s="506"/>
      <c r="CE44" s="506"/>
      <c r="CF44" s="506"/>
      <c r="CG44" s="506"/>
      <c r="CH44" s="506"/>
      <c r="CI44" s="506"/>
      <c r="CJ44" s="506"/>
      <c r="CK44" s="506"/>
      <c r="CL44" s="506"/>
      <c r="CM44" s="506"/>
      <c r="CN44" s="506"/>
      <c r="CO44" s="506"/>
      <c r="CP44" s="506"/>
      <c r="CQ44" s="506"/>
      <c r="CR44" s="506"/>
      <c r="CS44" s="506"/>
      <c r="CT44" s="506"/>
      <c r="CU44" s="506"/>
      <c r="CV44" s="506"/>
      <c r="CW44" s="506"/>
      <c r="CX44" s="506"/>
      <c r="CY44" s="506"/>
      <c r="CZ44" s="506"/>
      <c r="DA44" s="506"/>
      <c r="DB44" s="506"/>
      <c r="DC44" s="509"/>
      <c r="DD44" s="4"/>
      <c r="DE44" s="4"/>
      <c r="DF44" s="4"/>
      <c r="DG44" s="4"/>
      <c r="DH44" s="4"/>
    </row>
    <row r="45" spans="1:112" ht="13.5" thickBot="1">
      <c r="A45" s="505"/>
      <c r="B45" s="528" t="s">
        <v>815</v>
      </c>
      <c r="C45" s="512"/>
      <c r="D45" s="529"/>
      <c r="E45" s="529"/>
      <c r="F45" s="530"/>
      <c r="G45" s="530"/>
      <c r="H45" s="530"/>
      <c r="I45" s="530"/>
      <c r="J45" s="530"/>
      <c r="K45" s="530"/>
      <c r="L45" s="530"/>
      <c r="M45" s="530"/>
      <c r="N45" s="530"/>
      <c r="O45" s="530"/>
      <c r="P45" s="530"/>
      <c r="Q45" s="530"/>
      <c r="R45" s="530"/>
      <c r="S45" s="530"/>
      <c r="T45" s="530"/>
      <c r="U45" s="530"/>
      <c r="V45" s="530"/>
      <c r="W45" s="530"/>
      <c r="X45" s="530"/>
      <c r="Y45" s="530"/>
      <c r="Z45" s="530"/>
      <c r="AA45" s="530"/>
      <c r="AB45" s="530"/>
      <c r="AC45" s="530"/>
      <c r="AD45" s="530"/>
      <c r="AE45" s="530"/>
      <c r="AF45" s="530"/>
      <c r="AG45" s="530"/>
      <c r="AH45" s="530"/>
      <c r="AI45" s="530"/>
      <c r="AJ45" s="530"/>
      <c r="AK45" s="530"/>
      <c r="AL45" s="530"/>
      <c r="AM45" s="530"/>
      <c r="AN45" s="530"/>
      <c r="AO45" s="530"/>
      <c r="AP45" s="530"/>
      <c r="AQ45" s="530"/>
      <c r="AR45" s="530"/>
      <c r="AS45" s="530"/>
      <c r="AT45" s="530"/>
      <c r="AU45" s="530"/>
      <c r="AV45" s="530"/>
      <c r="AW45" s="530"/>
      <c r="AX45" s="530"/>
      <c r="AY45" s="530"/>
      <c r="AZ45" s="530"/>
      <c r="BA45" s="530"/>
      <c r="BB45" s="530"/>
      <c r="BC45" s="530"/>
      <c r="BD45" s="530"/>
      <c r="BE45" s="530"/>
      <c r="BF45" s="530"/>
      <c r="BG45" s="530"/>
      <c r="BH45" s="530"/>
      <c r="BI45" s="530"/>
      <c r="BJ45" s="530"/>
      <c r="BK45" s="530"/>
      <c r="BL45" s="530"/>
      <c r="BM45" s="530"/>
      <c r="BN45" s="530"/>
      <c r="BO45" s="530"/>
      <c r="BP45" s="530"/>
      <c r="BQ45" s="530"/>
      <c r="BR45" s="530"/>
      <c r="BS45" s="530"/>
      <c r="BT45" s="530"/>
      <c r="BU45" s="530"/>
      <c r="BV45" s="530"/>
      <c r="BW45" s="530"/>
      <c r="BX45" s="530"/>
      <c r="BY45" s="530"/>
      <c r="BZ45" s="530"/>
      <c r="CA45" s="530"/>
      <c r="CB45" s="530"/>
      <c r="CC45" s="530"/>
      <c r="CD45" s="530"/>
      <c r="CE45" s="530"/>
      <c r="CF45" s="530"/>
      <c r="CG45" s="530"/>
      <c r="CH45" s="530"/>
      <c r="CI45" s="530"/>
      <c r="CJ45" s="530"/>
      <c r="CK45" s="530"/>
      <c r="CL45" s="530"/>
      <c r="CM45" s="530"/>
      <c r="CN45" s="530"/>
      <c r="CO45" s="530"/>
      <c r="CP45" s="530"/>
      <c r="CQ45" s="530"/>
      <c r="CR45" s="530"/>
      <c r="CS45" s="530"/>
      <c r="CT45" s="530"/>
      <c r="CU45" s="530"/>
      <c r="CV45" s="530"/>
      <c r="CW45" s="530"/>
      <c r="CX45" s="530"/>
      <c r="CY45" s="530"/>
      <c r="CZ45" s="530"/>
      <c r="DA45" s="530"/>
      <c r="DB45" s="506"/>
      <c r="DC45" s="509"/>
      <c r="DD45" s="4"/>
      <c r="DE45" s="4"/>
      <c r="DF45" s="4"/>
      <c r="DG45" s="4"/>
      <c r="DH45" s="4"/>
    </row>
    <row r="46" spans="1:112" ht="12.75" customHeight="1" thickBot="1">
      <c r="A46" s="505"/>
      <c r="B46" s="528" t="s">
        <v>816</v>
      </c>
      <c r="C46" s="531"/>
      <c r="D46" s="532"/>
      <c r="E46" s="532"/>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533"/>
      <c r="AM46" s="533"/>
      <c r="AN46" s="533"/>
      <c r="AO46" s="533"/>
      <c r="AP46" s="533"/>
      <c r="AQ46" s="533"/>
      <c r="AR46" s="533"/>
      <c r="AS46" s="533"/>
      <c r="AT46" s="533"/>
      <c r="AU46" s="533"/>
      <c r="AV46" s="533"/>
      <c r="AW46" s="533"/>
      <c r="AX46" s="533"/>
      <c r="AY46" s="533"/>
      <c r="AZ46" s="533"/>
      <c r="BA46" s="533"/>
      <c r="BB46" s="533"/>
      <c r="BC46" s="533"/>
      <c r="BD46" s="533"/>
      <c r="BE46" s="533"/>
      <c r="BF46" s="533"/>
      <c r="BG46" s="533"/>
      <c r="BH46" s="533"/>
      <c r="BI46" s="533"/>
      <c r="BJ46" s="533"/>
      <c r="BK46" s="533"/>
      <c r="BL46" s="533"/>
      <c r="BM46" s="533"/>
      <c r="BN46" s="533"/>
      <c r="BO46" s="533"/>
      <c r="BP46" s="533"/>
      <c r="BQ46" s="533"/>
      <c r="BR46" s="533"/>
      <c r="BS46" s="533"/>
      <c r="BT46" s="533"/>
      <c r="BU46" s="533"/>
      <c r="BV46" s="533"/>
      <c r="BW46" s="533"/>
      <c r="BX46" s="533"/>
      <c r="BY46" s="533"/>
      <c r="BZ46" s="533"/>
      <c r="CA46" s="533"/>
      <c r="CB46" s="533"/>
      <c r="CC46" s="533"/>
      <c r="CD46" s="533"/>
      <c r="CE46" s="533"/>
      <c r="CF46" s="533"/>
      <c r="CG46" s="533"/>
      <c r="CH46" s="533"/>
      <c r="CI46" s="533"/>
      <c r="CJ46" s="533"/>
      <c r="CK46" s="533"/>
      <c r="CL46" s="533"/>
      <c r="CM46" s="533"/>
      <c r="CN46" s="533"/>
      <c r="CO46" s="533"/>
      <c r="CP46" s="533"/>
      <c r="CQ46" s="533"/>
      <c r="CR46" s="533"/>
      <c r="CS46" s="533"/>
      <c r="CT46" s="533"/>
      <c r="CU46" s="533"/>
      <c r="CV46" s="533"/>
      <c r="CW46" s="533"/>
      <c r="CX46" s="533"/>
      <c r="CY46" s="533"/>
      <c r="CZ46" s="533"/>
      <c r="DA46" s="533"/>
      <c r="DB46" s="506"/>
      <c r="DC46" s="509"/>
      <c r="DD46" s="4"/>
      <c r="DE46" s="4"/>
      <c r="DF46" s="4"/>
      <c r="DG46" s="4"/>
      <c r="DH46" s="4"/>
    </row>
    <row r="47" spans="1:112" ht="13.5" thickBot="1">
      <c r="A47" s="505"/>
      <c r="B47" s="534" t="s">
        <v>559</v>
      </c>
      <c r="C47" s="525"/>
      <c r="D47" s="525"/>
      <c r="E47" s="525"/>
      <c r="F47" s="535"/>
      <c r="G47" s="536" t="str">
        <f t="shared" ref="G47:AL47" si="0">IF(G46="","0",ABS(F46-G46))</f>
        <v>0</v>
      </c>
      <c r="H47" s="536" t="str">
        <f t="shared" si="0"/>
        <v>0</v>
      </c>
      <c r="I47" s="536" t="str">
        <f t="shared" si="0"/>
        <v>0</v>
      </c>
      <c r="J47" s="536" t="str">
        <f t="shared" si="0"/>
        <v>0</v>
      </c>
      <c r="K47" s="536" t="str">
        <f t="shared" si="0"/>
        <v>0</v>
      </c>
      <c r="L47" s="536" t="str">
        <f t="shared" si="0"/>
        <v>0</v>
      </c>
      <c r="M47" s="536" t="str">
        <f t="shared" si="0"/>
        <v>0</v>
      </c>
      <c r="N47" s="536" t="str">
        <f t="shared" si="0"/>
        <v>0</v>
      </c>
      <c r="O47" s="536" t="str">
        <f t="shared" si="0"/>
        <v>0</v>
      </c>
      <c r="P47" s="536" t="str">
        <f t="shared" si="0"/>
        <v>0</v>
      </c>
      <c r="Q47" s="536" t="str">
        <f t="shared" si="0"/>
        <v>0</v>
      </c>
      <c r="R47" s="536" t="str">
        <f t="shared" si="0"/>
        <v>0</v>
      </c>
      <c r="S47" s="536" t="str">
        <f t="shared" si="0"/>
        <v>0</v>
      </c>
      <c r="T47" s="536" t="str">
        <f t="shared" si="0"/>
        <v>0</v>
      </c>
      <c r="U47" s="536" t="str">
        <f t="shared" si="0"/>
        <v>0</v>
      </c>
      <c r="V47" s="536" t="str">
        <f t="shared" si="0"/>
        <v>0</v>
      </c>
      <c r="W47" s="536" t="str">
        <f t="shared" si="0"/>
        <v>0</v>
      </c>
      <c r="X47" s="536" t="str">
        <f t="shared" si="0"/>
        <v>0</v>
      </c>
      <c r="Y47" s="536" t="str">
        <f t="shared" si="0"/>
        <v>0</v>
      </c>
      <c r="Z47" s="536" t="str">
        <f t="shared" si="0"/>
        <v>0</v>
      </c>
      <c r="AA47" s="536" t="str">
        <f t="shared" si="0"/>
        <v>0</v>
      </c>
      <c r="AB47" s="536" t="str">
        <f t="shared" si="0"/>
        <v>0</v>
      </c>
      <c r="AC47" s="536" t="str">
        <f t="shared" si="0"/>
        <v>0</v>
      </c>
      <c r="AD47" s="536" t="str">
        <f t="shared" si="0"/>
        <v>0</v>
      </c>
      <c r="AE47" s="536" t="str">
        <f t="shared" si="0"/>
        <v>0</v>
      </c>
      <c r="AF47" s="536" t="str">
        <f t="shared" si="0"/>
        <v>0</v>
      </c>
      <c r="AG47" s="536" t="str">
        <f t="shared" si="0"/>
        <v>0</v>
      </c>
      <c r="AH47" s="536" t="str">
        <f t="shared" si="0"/>
        <v>0</v>
      </c>
      <c r="AI47" s="536" t="str">
        <f t="shared" si="0"/>
        <v>0</v>
      </c>
      <c r="AJ47" s="536" t="str">
        <f t="shared" si="0"/>
        <v>0</v>
      </c>
      <c r="AK47" s="536" t="str">
        <f t="shared" si="0"/>
        <v>0</v>
      </c>
      <c r="AL47" s="536" t="str">
        <f t="shared" si="0"/>
        <v>0</v>
      </c>
      <c r="AM47" s="536" t="str">
        <f t="shared" ref="AM47:BR47" si="1">IF(AM46="","0",ABS(AL46-AM46))</f>
        <v>0</v>
      </c>
      <c r="AN47" s="536" t="str">
        <f t="shared" si="1"/>
        <v>0</v>
      </c>
      <c r="AO47" s="536" t="str">
        <f t="shared" si="1"/>
        <v>0</v>
      </c>
      <c r="AP47" s="536" t="str">
        <f t="shared" si="1"/>
        <v>0</v>
      </c>
      <c r="AQ47" s="536" t="str">
        <f t="shared" si="1"/>
        <v>0</v>
      </c>
      <c r="AR47" s="536" t="str">
        <f t="shared" si="1"/>
        <v>0</v>
      </c>
      <c r="AS47" s="536" t="str">
        <f t="shared" si="1"/>
        <v>0</v>
      </c>
      <c r="AT47" s="536" t="str">
        <f t="shared" si="1"/>
        <v>0</v>
      </c>
      <c r="AU47" s="536" t="str">
        <f t="shared" si="1"/>
        <v>0</v>
      </c>
      <c r="AV47" s="536" t="str">
        <f t="shared" si="1"/>
        <v>0</v>
      </c>
      <c r="AW47" s="536" t="str">
        <f t="shared" si="1"/>
        <v>0</v>
      </c>
      <c r="AX47" s="536" t="str">
        <f t="shared" si="1"/>
        <v>0</v>
      </c>
      <c r="AY47" s="536" t="str">
        <f t="shared" si="1"/>
        <v>0</v>
      </c>
      <c r="AZ47" s="536" t="str">
        <f t="shared" si="1"/>
        <v>0</v>
      </c>
      <c r="BA47" s="536" t="str">
        <f t="shared" si="1"/>
        <v>0</v>
      </c>
      <c r="BB47" s="536" t="str">
        <f t="shared" si="1"/>
        <v>0</v>
      </c>
      <c r="BC47" s="536" t="str">
        <f t="shared" si="1"/>
        <v>0</v>
      </c>
      <c r="BD47" s="536" t="str">
        <f t="shared" si="1"/>
        <v>0</v>
      </c>
      <c r="BE47" s="536" t="str">
        <f t="shared" si="1"/>
        <v>0</v>
      </c>
      <c r="BF47" s="536" t="str">
        <f t="shared" si="1"/>
        <v>0</v>
      </c>
      <c r="BG47" s="536" t="str">
        <f t="shared" si="1"/>
        <v>0</v>
      </c>
      <c r="BH47" s="536" t="str">
        <f t="shared" si="1"/>
        <v>0</v>
      </c>
      <c r="BI47" s="536" t="str">
        <f t="shared" si="1"/>
        <v>0</v>
      </c>
      <c r="BJ47" s="536" t="str">
        <f t="shared" si="1"/>
        <v>0</v>
      </c>
      <c r="BK47" s="536" t="str">
        <f t="shared" si="1"/>
        <v>0</v>
      </c>
      <c r="BL47" s="536" t="str">
        <f t="shared" si="1"/>
        <v>0</v>
      </c>
      <c r="BM47" s="536" t="str">
        <f t="shared" si="1"/>
        <v>0</v>
      </c>
      <c r="BN47" s="536" t="str">
        <f t="shared" si="1"/>
        <v>0</v>
      </c>
      <c r="BO47" s="536" t="str">
        <f t="shared" si="1"/>
        <v>0</v>
      </c>
      <c r="BP47" s="536" t="str">
        <f t="shared" si="1"/>
        <v>0</v>
      </c>
      <c r="BQ47" s="536" t="str">
        <f t="shared" si="1"/>
        <v>0</v>
      </c>
      <c r="BR47" s="536" t="str">
        <f t="shared" si="1"/>
        <v>0</v>
      </c>
      <c r="BS47" s="536" t="str">
        <f t="shared" ref="BS47:CX47" si="2">IF(BS46="","0",ABS(BR46-BS46))</f>
        <v>0</v>
      </c>
      <c r="BT47" s="536" t="str">
        <f t="shared" si="2"/>
        <v>0</v>
      </c>
      <c r="BU47" s="536" t="str">
        <f t="shared" si="2"/>
        <v>0</v>
      </c>
      <c r="BV47" s="536" t="str">
        <f t="shared" si="2"/>
        <v>0</v>
      </c>
      <c r="BW47" s="536" t="str">
        <f t="shared" si="2"/>
        <v>0</v>
      </c>
      <c r="BX47" s="536" t="str">
        <f t="shared" si="2"/>
        <v>0</v>
      </c>
      <c r="BY47" s="536" t="str">
        <f t="shared" si="2"/>
        <v>0</v>
      </c>
      <c r="BZ47" s="536" t="str">
        <f t="shared" si="2"/>
        <v>0</v>
      </c>
      <c r="CA47" s="536" t="str">
        <f t="shared" si="2"/>
        <v>0</v>
      </c>
      <c r="CB47" s="536" t="str">
        <f t="shared" si="2"/>
        <v>0</v>
      </c>
      <c r="CC47" s="536" t="str">
        <f t="shared" si="2"/>
        <v>0</v>
      </c>
      <c r="CD47" s="536" t="str">
        <f t="shared" si="2"/>
        <v>0</v>
      </c>
      <c r="CE47" s="536" t="str">
        <f t="shared" si="2"/>
        <v>0</v>
      </c>
      <c r="CF47" s="536" t="str">
        <f t="shared" si="2"/>
        <v>0</v>
      </c>
      <c r="CG47" s="536" t="str">
        <f t="shared" si="2"/>
        <v>0</v>
      </c>
      <c r="CH47" s="536" t="str">
        <f t="shared" si="2"/>
        <v>0</v>
      </c>
      <c r="CI47" s="536" t="str">
        <f t="shared" si="2"/>
        <v>0</v>
      </c>
      <c r="CJ47" s="536" t="str">
        <f t="shared" si="2"/>
        <v>0</v>
      </c>
      <c r="CK47" s="536" t="str">
        <f t="shared" si="2"/>
        <v>0</v>
      </c>
      <c r="CL47" s="536" t="str">
        <f t="shared" si="2"/>
        <v>0</v>
      </c>
      <c r="CM47" s="536" t="str">
        <f t="shared" si="2"/>
        <v>0</v>
      </c>
      <c r="CN47" s="536" t="str">
        <f t="shared" si="2"/>
        <v>0</v>
      </c>
      <c r="CO47" s="536" t="str">
        <f t="shared" si="2"/>
        <v>0</v>
      </c>
      <c r="CP47" s="536" t="str">
        <f t="shared" si="2"/>
        <v>0</v>
      </c>
      <c r="CQ47" s="536" t="str">
        <f t="shared" si="2"/>
        <v>0</v>
      </c>
      <c r="CR47" s="536" t="str">
        <f t="shared" si="2"/>
        <v>0</v>
      </c>
      <c r="CS47" s="536" t="str">
        <f t="shared" si="2"/>
        <v>0</v>
      </c>
      <c r="CT47" s="536" t="str">
        <f t="shared" si="2"/>
        <v>0</v>
      </c>
      <c r="CU47" s="536" t="str">
        <f t="shared" si="2"/>
        <v>0</v>
      </c>
      <c r="CV47" s="536" t="str">
        <f t="shared" si="2"/>
        <v>0</v>
      </c>
      <c r="CW47" s="536" t="str">
        <f t="shared" si="2"/>
        <v>0</v>
      </c>
      <c r="CX47" s="536" t="str">
        <f t="shared" si="2"/>
        <v>0</v>
      </c>
      <c r="CY47" s="536" t="str">
        <f>IF(CY46="","0",ABS(CX46-CY46))</f>
        <v>0</v>
      </c>
      <c r="CZ47" s="536" t="str">
        <f>IF(CZ46="","0",ABS(CY46-CZ46))</f>
        <v>0</v>
      </c>
      <c r="DA47" s="536" t="str">
        <f>IF(DA46="","0",ABS(CZ46-DA46))</f>
        <v>0</v>
      </c>
      <c r="DB47" s="506"/>
      <c r="DC47" s="509"/>
      <c r="DD47" s="4"/>
      <c r="DE47" s="4"/>
      <c r="DF47" s="4"/>
      <c r="DG47" s="4"/>
      <c r="DH47" s="4"/>
    </row>
    <row r="48" spans="1:112">
      <c r="A48" s="505"/>
      <c r="B48" s="986" t="s">
        <v>817</v>
      </c>
      <c r="C48" s="986"/>
      <c r="D48" s="986"/>
      <c r="E48" s="537"/>
      <c r="F48" s="538">
        <v>1</v>
      </c>
      <c r="G48" s="538">
        <v>2</v>
      </c>
      <c r="H48" s="538">
        <v>3</v>
      </c>
      <c r="I48" s="538">
        <v>4</v>
      </c>
      <c r="J48" s="538">
        <v>5</v>
      </c>
      <c r="K48" s="538">
        <v>6</v>
      </c>
      <c r="L48" s="538">
        <v>7</v>
      </c>
      <c r="M48" s="538">
        <v>8</v>
      </c>
      <c r="N48" s="538">
        <v>9</v>
      </c>
      <c r="O48" s="538">
        <v>10</v>
      </c>
      <c r="P48" s="538">
        <v>11</v>
      </c>
      <c r="Q48" s="538">
        <v>12</v>
      </c>
      <c r="R48" s="538">
        <v>13</v>
      </c>
      <c r="S48" s="538">
        <v>14</v>
      </c>
      <c r="T48" s="538">
        <v>15</v>
      </c>
      <c r="U48" s="538">
        <v>16</v>
      </c>
      <c r="V48" s="538">
        <v>17</v>
      </c>
      <c r="W48" s="538">
        <v>18</v>
      </c>
      <c r="X48" s="538">
        <v>19</v>
      </c>
      <c r="Y48" s="538">
        <v>20</v>
      </c>
      <c r="Z48" s="538">
        <v>21</v>
      </c>
      <c r="AA48" s="538">
        <v>22</v>
      </c>
      <c r="AB48" s="538">
        <v>23</v>
      </c>
      <c r="AC48" s="538">
        <v>24</v>
      </c>
      <c r="AD48" s="538">
        <v>25</v>
      </c>
      <c r="AE48" s="538">
        <v>26</v>
      </c>
      <c r="AF48" s="538">
        <v>27</v>
      </c>
      <c r="AG48" s="538">
        <v>28</v>
      </c>
      <c r="AH48" s="538">
        <v>29</v>
      </c>
      <c r="AI48" s="538">
        <v>30</v>
      </c>
      <c r="AJ48" s="538">
        <v>31</v>
      </c>
      <c r="AK48" s="538">
        <v>32</v>
      </c>
      <c r="AL48" s="538">
        <v>33</v>
      </c>
      <c r="AM48" s="538">
        <v>34</v>
      </c>
      <c r="AN48" s="538">
        <v>35</v>
      </c>
      <c r="AO48" s="538">
        <v>36</v>
      </c>
      <c r="AP48" s="538">
        <v>37</v>
      </c>
      <c r="AQ48" s="538">
        <v>38</v>
      </c>
      <c r="AR48" s="538">
        <v>39</v>
      </c>
      <c r="AS48" s="538">
        <v>40</v>
      </c>
      <c r="AT48" s="538">
        <v>41</v>
      </c>
      <c r="AU48" s="538">
        <v>42</v>
      </c>
      <c r="AV48" s="539">
        <v>43</v>
      </c>
      <c r="AW48" s="539">
        <v>44</v>
      </c>
      <c r="AX48" s="539">
        <v>45</v>
      </c>
      <c r="AY48" s="539">
        <v>46</v>
      </c>
      <c r="AZ48" s="539">
        <v>47</v>
      </c>
      <c r="BA48" s="539">
        <v>48</v>
      </c>
      <c r="BB48" s="539">
        <v>49</v>
      </c>
      <c r="BC48" s="539">
        <v>50</v>
      </c>
      <c r="BD48" s="539">
        <v>51</v>
      </c>
      <c r="BE48" s="539">
        <v>52</v>
      </c>
      <c r="BF48" s="539">
        <v>53</v>
      </c>
      <c r="BG48" s="539">
        <v>54</v>
      </c>
      <c r="BH48" s="539">
        <v>55</v>
      </c>
      <c r="BI48" s="539">
        <v>56</v>
      </c>
      <c r="BJ48" s="539">
        <v>57</v>
      </c>
      <c r="BK48" s="539">
        <v>58</v>
      </c>
      <c r="BL48" s="539">
        <v>59</v>
      </c>
      <c r="BM48" s="539">
        <v>60</v>
      </c>
      <c r="BN48" s="539">
        <v>61</v>
      </c>
      <c r="BO48" s="539">
        <v>62</v>
      </c>
      <c r="BP48" s="539">
        <v>63</v>
      </c>
      <c r="BQ48" s="539">
        <v>64</v>
      </c>
      <c r="BR48" s="539">
        <v>65</v>
      </c>
      <c r="BS48" s="539">
        <v>66</v>
      </c>
      <c r="BT48" s="539">
        <v>67</v>
      </c>
      <c r="BU48" s="539">
        <v>68</v>
      </c>
      <c r="BV48" s="539">
        <v>69</v>
      </c>
      <c r="BW48" s="539">
        <v>70</v>
      </c>
      <c r="BX48" s="539">
        <v>71</v>
      </c>
      <c r="BY48" s="539">
        <v>72</v>
      </c>
      <c r="BZ48" s="539">
        <v>73</v>
      </c>
      <c r="CA48" s="539">
        <v>74</v>
      </c>
      <c r="CB48" s="539">
        <v>75</v>
      </c>
      <c r="CC48" s="539">
        <v>76</v>
      </c>
      <c r="CD48" s="539">
        <v>77</v>
      </c>
      <c r="CE48" s="539">
        <v>78</v>
      </c>
      <c r="CF48" s="539">
        <v>79</v>
      </c>
      <c r="CG48" s="539">
        <v>80</v>
      </c>
      <c r="CH48" s="539">
        <v>81</v>
      </c>
      <c r="CI48" s="539">
        <v>82</v>
      </c>
      <c r="CJ48" s="539">
        <v>83</v>
      </c>
      <c r="CK48" s="539">
        <v>84</v>
      </c>
      <c r="CL48" s="539">
        <v>85</v>
      </c>
      <c r="CM48" s="539">
        <v>86</v>
      </c>
      <c r="CN48" s="539">
        <v>87</v>
      </c>
      <c r="CO48" s="539">
        <v>88</v>
      </c>
      <c r="CP48" s="539">
        <v>89</v>
      </c>
      <c r="CQ48" s="539">
        <v>90</v>
      </c>
      <c r="CR48" s="539">
        <v>91</v>
      </c>
      <c r="CS48" s="539">
        <v>92</v>
      </c>
      <c r="CT48" s="539">
        <v>93</v>
      </c>
      <c r="CU48" s="539">
        <v>94</v>
      </c>
      <c r="CV48" s="539">
        <v>95</v>
      </c>
      <c r="CW48" s="539">
        <v>96</v>
      </c>
      <c r="CX48" s="539">
        <v>97</v>
      </c>
      <c r="CY48" s="539">
        <v>98</v>
      </c>
      <c r="CZ48" s="539">
        <v>99</v>
      </c>
      <c r="DA48" s="539">
        <v>100</v>
      </c>
      <c r="DB48" s="506"/>
      <c r="DC48" s="509"/>
      <c r="DD48" s="4"/>
      <c r="DE48" s="4"/>
      <c r="DF48" s="4"/>
      <c r="DG48" s="4"/>
      <c r="DH48" s="4"/>
    </row>
    <row r="49" spans="1:112">
      <c r="A49" s="505"/>
      <c r="B49" s="537"/>
      <c r="C49" s="537"/>
      <c r="D49" s="537"/>
      <c r="E49" s="537"/>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9"/>
      <c r="AF49" s="508"/>
      <c r="AG49" s="506"/>
      <c r="AH49" s="506"/>
      <c r="AI49" s="506"/>
      <c r="AJ49" s="506"/>
      <c r="AK49" s="506"/>
      <c r="AL49" s="506"/>
      <c r="AM49" s="506"/>
      <c r="AN49" s="506"/>
      <c r="AO49" s="506"/>
      <c r="AP49" s="506"/>
      <c r="AQ49" s="506"/>
      <c r="AR49" s="506"/>
      <c r="AS49" s="508"/>
      <c r="AT49" s="508"/>
      <c r="AU49" s="508"/>
      <c r="AV49" s="506"/>
      <c r="AW49" s="506"/>
      <c r="AX49" s="506"/>
      <c r="AY49" s="506"/>
      <c r="AZ49" s="506"/>
      <c r="BA49" s="506"/>
      <c r="BB49" s="506"/>
      <c r="BC49" s="506"/>
      <c r="BD49" s="506"/>
      <c r="BE49" s="506"/>
      <c r="BF49" s="506"/>
      <c r="BG49" s="506"/>
      <c r="BH49" s="506"/>
      <c r="BI49" s="506"/>
      <c r="BJ49" s="506"/>
      <c r="BK49" s="506"/>
      <c r="BL49" s="506"/>
      <c r="BM49" s="506"/>
      <c r="BN49" s="506"/>
      <c r="BO49" s="506"/>
      <c r="BP49" s="506"/>
      <c r="BQ49" s="506"/>
      <c r="BR49" s="506"/>
      <c r="BS49" s="506"/>
      <c r="BT49" s="506"/>
      <c r="BU49" s="506"/>
      <c r="BV49" s="506"/>
      <c r="BW49" s="506"/>
      <c r="BX49" s="506"/>
      <c r="BY49" s="506"/>
      <c r="BZ49" s="506"/>
      <c r="CA49" s="506"/>
      <c r="CB49" s="506"/>
      <c r="CC49" s="506"/>
      <c r="CD49" s="506"/>
      <c r="CE49" s="506"/>
      <c r="CF49" s="506"/>
      <c r="CG49" s="506"/>
      <c r="CH49" s="506"/>
      <c r="CI49" s="506"/>
      <c r="CJ49" s="506"/>
      <c r="CK49" s="506"/>
      <c r="CL49" s="506"/>
      <c r="CM49" s="506"/>
      <c r="CN49" s="506"/>
      <c r="CO49" s="506"/>
      <c r="CP49" s="506"/>
      <c r="CQ49" s="506"/>
      <c r="CR49" s="506"/>
      <c r="CS49" s="506"/>
      <c r="CT49" s="506"/>
      <c r="CU49" s="506"/>
      <c r="CV49" s="506"/>
      <c r="CW49" s="506"/>
      <c r="CX49" s="506"/>
      <c r="CY49" s="506"/>
      <c r="CZ49" s="506"/>
      <c r="DA49" s="506"/>
      <c r="DB49" s="506"/>
      <c r="DC49" s="509"/>
      <c r="DD49" s="4"/>
      <c r="DE49" s="4"/>
      <c r="DF49" s="4"/>
      <c r="DG49" s="4"/>
      <c r="DH49" s="4"/>
    </row>
    <row r="50" spans="1:112" ht="43.5" customHeight="1">
      <c r="A50" s="505"/>
      <c r="B50" s="540" t="s">
        <v>818</v>
      </c>
      <c r="C50" s="541" t="s">
        <v>819</v>
      </c>
      <c r="D50" s="508"/>
      <c r="E50" s="542" t="s">
        <v>820</v>
      </c>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39"/>
      <c r="AD50" s="508"/>
      <c r="AE50" s="506"/>
      <c r="AF50" s="506"/>
      <c r="AG50" s="506"/>
      <c r="AH50" s="506"/>
      <c r="AI50" s="506"/>
      <c r="AJ50" s="506"/>
      <c r="AK50" s="506"/>
      <c r="AL50" s="506"/>
      <c r="AM50" s="506"/>
      <c r="AN50" s="506"/>
      <c r="AO50" s="506"/>
      <c r="AP50" s="506"/>
      <c r="AQ50" s="508"/>
      <c r="AR50" s="508"/>
      <c r="AS50" s="508"/>
      <c r="AT50" s="506"/>
      <c r="AU50" s="506"/>
      <c r="AV50" s="506"/>
      <c r="AW50" s="506"/>
      <c r="AX50" s="506"/>
      <c r="AY50" s="506"/>
      <c r="AZ50" s="506"/>
      <c r="BA50" s="506"/>
      <c r="BB50" s="506"/>
      <c r="BC50" s="506"/>
      <c r="BD50" s="506"/>
      <c r="BE50" s="506"/>
      <c r="BF50" s="506"/>
      <c r="BG50" s="506"/>
      <c r="BH50" s="506"/>
      <c r="BI50" s="506"/>
      <c r="BJ50" s="506"/>
      <c r="BK50" s="506"/>
      <c r="BL50" s="506"/>
      <c r="BM50" s="506"/>
      <c r="BN50" s="506"/>
      <c r="BO50" s="506"/>
      <c r="BP50" s="506"/>
      <c r="BQ50" s="506"/>
      <c r="BR50" s="506"/>
      <c r="BS50" s="506"/>
      <c r="BT50" s="506"/>
      <c r="BU50" s="506"/>
      <c r="BV50" s="506"/>
      <c r="BW50" s="506"/>
      <c r="BX50" s="506"/>
      <c r="BY50" s="506"/>
      <c r="BZ50" s="506"/>
      <c r="CA50" s="506"/>
      <c r="CB50" s="506"/>
      <c r="CC50" s="506"/>
      <c r="CD50" s="506"/>
      <c r="CE50" s="506"/>
      <c r="CF50" s="506"/>
      <c r="CG50" s="506"/>
      <c r="CH50" s="506"/>
      <c r="CI50" s="506"/>
      <c r="CJ50" s="506"/>
      <c r="CK50" s="506"/>
      <c r="CL50" s="506"/>
      <c r="CM50" s="506"/>
      <c r="CN50" s="506"/>
      <c r="CO50" s="506"/>
      <c r="CP50" s="506"/>
      <c r="CQ50" s="506"/>
      <c r="CR50" s="506"/>
      <c r="CS50" s="506"/>
      <c r="CT50" s="506"/>
      <c r="CU50" s="506"/>
      <c r="CV50" s="506"/>
      <c r="CW50" s="506"/>
      <c r="CX50" s="506"/>
      <c r="CY50" s="506"/>
      <c r="CZ50" s="506"/>
      <c r="DA50" s="506"/>
      <c r="DB50" s="506"/>
      <c r="DC50" s="509"/>
      <c r="DD50" s="4"/>
      <c r="DE50" s="4"/>
      <c r="DF50" s="4"/>
    </row>
    <row r="51" spans="1:112">
      <c r="A51" s="505"/>
      <c r="B51" s="543" t="s">
        <v>821</v>
      </c>
      <c r="C51" s="544" t="str">
        <f>IF(F46="","",AVERAGE(F46:AI46))</f>
        <v/>
      </c>
      <c r="D51" s="545"/>
      <c r="E51" s="546" t="str">
        <f>IF(AJ46="","",(AVERAGE(F46:DA46)))</f>
        <v/>
      </c>
      <c r="F51" s="508"/>
      <c r="G51" s="508"/>
      <c r="H51" s="508"/>
      <c r="I51" s="508"/>
      <c r="J51" s="508"/>
      <c r="K51" s="508"/>
      <c r="L51" s="508"/>
      <c r="M51" s="508"/>
      <c r="N51" s="508"/>
      <c r="O51" s="508"/>
      <c r="P51" s="508"/>
      <c r="Q51" s="508"/>
      <c r="R51" s="508"/>
      <c r="S51" s="508"/>
      <c r="T51" s="508"/>
      <c r="U51" s="508"/>
      <c r="V51" s="508"/>
      <c r="W51" s="508"/>
      <c r="X51" s="508"/>
      <c r="Y51" s="508"/>
      <c r="Z51" s="508"/>
      <c r="AA51" s="508"/>
      <c r="AB51" s="508"/>
      <c r="AC51" s="539"/>
      <c r="AD51" s="508"/>
      <c r="AE51" s="506"/>
      <c r="AF51" s="506"/>
      <c r="AG51" s="506"/>
      <c r="AH51" s="506"/>
      <c r="AI51" s="506"/>
      <c r="AJ51" s="506"/>
      <c r="AK51" s="506"/>
      <c r="AL51" s="506"/>
      <c r="AM51" s="506"/>
      <c r="AN51" s="506"/>
      <c r="AO51" s="506"/>
      <c r="AP51" s="506"/>
      <c r="AQ51" s="508"/>
      <c r="AR51" s="508"/>
      <c r="AS51" s="508"/>
      <c r="AT51" s="506"/>
      <c r="AU51" s="506"/>
      <c r="AV51" s="506"/>
      <c r="AW51" s="506"/>
      <c r="AX51" s="506"/>
      <c r="AY51" s="506"/>
      <c r="AZ51" s="506"/>
      <c r="BA51" s="506"/>
      <c r="BB51" s="506"/>
      <c r="BC51" s="506"/>
      <c r="BD51" s="506"/>
      <c r="BE51" s="506"/>
      <c r="BF51" s="506"/>
      <c r="BG51" s="506"/>
      <c r="BH51" s="506"/>
      <c r="BI51" s="506"/>
      <c r="BJ51" s="506"/>
      <c r="BK51" s="506"/>
      <c r="BL51" s="506"/>
      <c r="BM51" s="506"/>
      <c r="BN51" s="506"/>
      <c r="BO51" s="506"/>
      <c r="BP51" s="506"/>
      <c r="BQ51" s="506"/>
      <c r="BR51" s="506"/>
      <c r="BS51" s="506"/>
      <c r="BT51" s="506"/>
      <c r="BU51" s="506"/>
      <c r="BV51" s="506"/>
      <c r="BW51" s="506"/>
      <c r="BX51" s="506"/>
      <c r="BY51" s="506"/>
      <c r="BZ51" s="506"/>
      <c r="CA51" s="506"/>
      <c r="CB51" s="506"/>
      <c r="CC51" s="506"/>
      <c r="CD51" s="506"/>
      <c r="CE51" s="506"/>
      <c r="CF51" s="506"/>
      <c r="CG51" s="506"/>
      <c r="CH51" s="506"/>
      <c r="CI51" s="506"/>
      <c r="CJ51" s="506"/>
      <c r="CK51" s="506"/>
      <c r="CL51" s="506"/>
      <c r="CM51" s="506"/>
      <c r="CN51" s="506"/>
      <c r="CO51" s="506"/>
      <c r="CP51" s="506"/>
      <c r="CQ51" s="506"/>
      <c r="CR51" s="506"/>
      <c r="CS51" s="506"/>
      <c r="CT51" s="506"/>
      <c r="CU51" s="506"/>
      <c r="CV51" s="506"/>
      <c r="CW51" s="506"/>
      <c r="CX51" s="506"/>
      <c r="CY51" s="506"/>
      <c r="CZ51" s="506"/>
      <c r="DA51" s="506"/>
      <c r="DB51" s="506"/>
      <c r="DC51" s="509"/>
      <c r="DD51" s="4"/>
      <c r="DE51" s="4"/>
      <c r="DF51" s="4"/>
    </row>
    <row r="52" spans="1:112">
      <c r="A52" s="505"/>
      <c r="B52" s="543" t="s">
        <v>822</v>
      </c>
      <c r="C52" s="546" t="str">
        <f>IF(F46="","",(SUM(H28*2.66)+I8))</f>
        <v/>
      </c>
      <c r="D52" s="545"/>
      <c r="E52" s="546" t="str">
        <f>IF(AJ46="","",(SUM(H29*2.66)+I9))</f>
        <v/>
      </c>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6"/>
      <c r="AF52" s="506"/>
      <c r="AG52" s="506"/>
      <c r="AH52" s="506"/>
      <c r="AI52" s="506"/>
      <c r="AJ52" s="506"/>
      <c r="AK52" s="506"/>
      <c r="AL52" s="506"/>
      <c r="AM52" s="506"/>
      <c r="AN52" s="506"/>
      <c r="AO52" s="506"/>
      <c r="AP52" s="506"/>
      <c r="AQ52" s="508"/>
      <c r="AR52" s="508"/>
      <c r="AS52" s="508"/>
      <c r="AT52" s="506"/>
      <c r="AU52" s="506"/>
      <c r="AV52" s="506"/>
      <c r="AW52" s="506"/>
      <c r="AX52" s="506"/>
      <c r="AY52" s="506"/>
      <c r="AZ52" s="506"/>
      <c r="BA52" s="506"/>
      <c r="BB52" s="506"/>
      <c r="BC52" s="506"/>
      <c r="BD52" s="506"/>
      <c r="BE52" s="506"/>
      <c r="BF52" s="506"/>
      <c r="BG52" s="506"/>
      <c r="BH52" s="506"/>
      <c r="BI52" s="506"/>
      <c r="BJ52" s="506"/>
      <c r="BK52" s="506"/>
      <c r="BL52" s="506"/>
      <c r="BM52" s="506"/>
      <c r="BN52" s="506"/>
      <c r="BO52" s="506"/>
      <c r="BP52" s="506"/>
      <c r="BQ52" s="506"/>
      <c r="BR52" s="506"/>
      <c r="BS52" s="506"/>
      <c r="BT52" s="506"/>
      <c r="BU52" s="506"/>
      <c r="BV52" s="506"/>
      <c r="BW52" s="506"/>
      <c r="BX52" s="506"/>
      <c r="BY52" s="506"/>
      <c r="BZ52" s="506"/>
      <c r="CA52" s="506"/>
      <c r="CB52" s="506"/>
      <c r="CC52" s="506"/>
      <c r="CD52" s="506"/>
      <c r="CE52" s="506"/>
      <c r="CF52" s="506"/>
      <c r="CG52" s="506"/>
      <c r="CH52" s="506"/>
      <c r="CI52" s="506"/>
      <c r="CJ52" s="506"/>
      <c r="CK52" s="506"/>
      <c r="CL52" s="506"/>
      <c r="CM52" s="506"/>
      <c r="CN52" s="506"/>
      <c r="CO52" s="506"/>
      <c r="CP52" s="506"/>
      <c r="CQ52" s="506"/>
      <c r="CR52" s="506"/>
      <c r="CS52" s="506"/>
      <c r="CT52" s="506"/>
      <c r="CU52" s="506"/>
      <c r="CV52" s="506"/>
      <c r="CW52" s="506"/>
      <c r="CX52" s="506"/>
      <c r="CY52" s="506"/>
      <c r="CZ52" s="506"/>
      <c r="DA52" s="506"/>
      <c r="DB52" s="506"/>
      <c r="DC52" s="509"/>
      <c r="DD52" s="4"/>
      <c r="DE52" s="4"/>
      <c r="DF52" s="4"/>
    </row>
    <row r="53" spans="1:112">
      <c r="A53" s="505"/>
      <c r="B53" s="543" t="s">
        <v>823</v>
      </c>
      <c r="C53" s="546" t="str">
        <f>IF(F46="","",SUM(I8-(H28*2.66)))</f>
        <v/>
      </c>
      <c r="D53" s="545"/>
      <c r="E53" s="546" t="str">
        <f>IF(AJ46="","",SUM(I9-(H29*2.66)))</f>
        <v/>
      </c>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39"/>
      <c r="AD53" s="508"/>
      <c r="AE53" s="506"/>
      <c r="AF53" s="506"/>
      <c r="AG53" s="506"/>
      <c r="AH53" s="506"/>
      <c r="AI53" s="506"/>
      <c r="AJ53" s="506"/>
      <c r="AK53" s="506"/>
      <c r="AL53" s="506"/>
      <c r="AM53" s="506"/>
      <c r="AN53" s="506"/>
      <c r="AO53" s="506"/>
      <c r="AP53" s="506"/>
      <c r="AQ53" s="508"/>
      <c r="AR53" s="508"/>
      <c r="AS53" s="508"/>
      <c r="AT53" s="506"/>
      <c r="AU53" s="506"/>
      <c r="AV53" s="506"/>
      <c r="AW53" s="506"/>
      <c r="AX53" s="506"/>
      <c r="AY53" s="506"/>
      <c r="AZ53" s="506"/>
      <c r="BA53" s="506"/>
      <c r="BB53" s="506"/>
      <c r="BC53" s="506"/>
      <c r="BD53" s="506"/>
      <c r="BE53" s="506"/>
      <c r="BF53" s="506"/>
      <c r="BG53" s="506"/>
      <c r="BH53" s="506"/>
      <c r="BI53" s="506"/>
      <c r="BJ53" s="506"/>
      <c r="BK53" s="506"/>
      <c r="BL53" s="506"/>
      <c r="BM53" s="506"/>
      <c r="BN53" s="506"/>
      <c r="BO53" s="506"/>
      <c r="BP53" s="506"/>
      <c r="BQ53" s="506"/>
      <c r="BR53" s="506"/>
      <c r="BS53" s="506"/>
      <c r="BT53" s="506"/>
      <c r="BU53" s="506"/>
      <c r="BV53" s="506"/>
      <c r="BW53" s="506"/>
      <c r="BX53" s="506"/>
      <c r="BY53" s="506"/>
      <c r="BZ53" s="506"/>
      <c r="CA53" s="506"/>
      <c r="CB53" s="506"/>
      <c r="CC53" s="506"/>
      <c r="CD53" s="506"/>
      <c r="CE53" s="506"/>
      <c r="CF53" s="506"/>
      <c r="CG53" s="506"/>
      <c r="CH53" s="506"/>
      <c r="CI53" s="506"/>
      <c r="CJ53" s="506"/>
      <c r="CK53" s="506"/>
      <c r="CL53" s="506"/>
      <c r="CM53" s="506"/>
      <c r="CN53" s="506"/>
      <c r="CO53" s="506"/>
      <c r="CP53" s="506"/>
      <c r="CQ53" s="506"/>
      <c r="CR53" s="506"/>
      <c r="CS53" s="506"/>
      <c r="CT53" s="506"/>
      <c r="CU53" s="506"/>
      <c r="CV53" s="506"/>
      <c r="CW53" s="506"/>
      <c r="CX53" s="506"/>
      <c r="CY53" s="506"/>
      <c r="CZ53" s="506"/>
      <c r="DA53" s="506"/>
      <c r="DB53" s="506"/>
      <c r="DC53" s="509"/>
      <c r="DD53" s="4"/>
      <c r="DE53" s="4"/>
      <c r="DF53" s="4"/>
    </row>
    <row r="54" spans="1:112">
      <c r="A54" s="505"/>
      <c r="B54" s="543" t="s">
        <v>824</v>
      </c>
      <c r="C54" s="547" t="str">
        <f>IF(F46="","",SUM(H28/1.13))</f>
        <v/>
      </c>
      <c r="D54" s="545"/>
      <c r="E54" s="547" t="str">
        <f>IF(AJ46="","",(SUM(H29/1.13)))</f>
        <v/>
      </c>
      <c r="F54" s="508"/>
      <c r="G54" s="508"/>
      <c r="H54" s="508"/>
      <c r="I54" s="508"/>
      <c r="J54" s="508"/>
      <c r="K54" s="508"/>
      <c r="L54" s="508"/>
      <c r="M54" s="508"/>
      <c r="N54" s="508"/>
      <c r="O54" s="508"/>
      <c r="P54" s="508"/>
      <c r="Q54" s="508"/>
      <c r="R54" s="508"/>
      <c r="S54" s="508"/>
      <c r="T54" s="508"/>
      <c r="U54" s="508"/>
      <c r="V54" s="508"/>
      <c r="W54" s="508"/>
      <c r="X54" s="508"/>
      <c r="Y54" s="508"/>
      <c r="Z54" s="508"/>
      <c r="AA54" s="508"/>
      <c r="AB54" s="508"/>
      <c r="AC54" s="539"/>
      <c r="AD54" s="508"/>
      <c r="AE54" s="506"/>
      <c r="AF54" s="506"/>
      <c r="AG54" s="506"/>
      <c r="AH54" s="506"/>
      <c r="AI54" s="506"/>
      <c r="AJ54" s="506"/>
      <c r="AK54" s="506"/>
      <c r="AL54" s="506"/>
      <c r="AM54" s="506"/>
      <c r="AN54" s="506"/>
      <c r="AO54" s="506"/>
      <c r="AP54" s="506"/>
      <c r="AQ54" s="508"/>
      <c r="AR54" s="508"/>
      <c r="AS54" s="508"/>
      <c r="AT54" s="506"/>
      <c r="AU54" s="506"/>
      <c r="AV54" s="506"/>
      <c r="AW54" s="506"/>
      <c r="AX54" s="506"/>
      <c r="AY54" s="506"/>
      <c r="AZ54" s="506"/>
      <c r="BA54" s="506"/>
      <c r="BB54" s="506"/>
      <c r="BC54" s="506"/>
      <c r="BD54" s="506"/>
      <c r="BE54" s="506"/>
      <c r="BF54" s="506"/>
      <c r="BG54" s="506"/>
      <c r="BH54" s="506"/>
      <c r="BI54" s="506"/>
      <c r="BJ54" s="506"/>
      <c r="BK54" s="506"/>
      <c r="BL54" s="506"/>
      <c r="BM54" s="506"/>
      <c r="BN54" s="506"/>
      <c r="BO54" s="506"/>
      <c r="BP54" s="506"/>
      <c r="BQ54" s="506"/>
      <c r="BR54" s="506"/>
      <c r="BS54" s="506"/>
      <c r="BT54" s="506"/>
      <c r="BU54" s="506"/>
      <c r="BV54" s="506"/>
      <c r="BW54" s="506"/>
      <c r="BX54" s="506"/>
      <c r="BY54" s="506"/>
      <c r="BZ54" s="506"/>
      <c r="CA54" s="506"/>
      <c r="CB54" s="506"/>
      <c r="CC54" s="506"/>
      <c r="CD54" s="506"/>
      <c r="CE54" s="506"/>
      <c r="CF54" s="506"/>
      <c r="CG54" s="506"/>
      <c r="CH54" s="506"/>
      <c r="CI54" s="506"/>
      <c r="CJ54" s="506"/>
      <c r="CK54" s="506"/>
      <c r="CL54" s="506"/>
      <c r="CM54" s="506"/>
      <c r="CN54" s="506"/>
      <c r="CO54" s="506"/>
      <c r="CP54" s="506"/>
      <c r="CQ54" s="506"/>
      <c r="CR54" s="506"/>
      <c r="CS54" s="506"/>
      <c r="CT54" s="506"/>
      <c r="CU54" s="506"/>
      <c r="CV54" s="506"/>
      <c r="CW54" s="506"/>
      <c r="CX54" s="506"/>
      <c r="CY54" s="506"/>
      <c r="CZ54" s="506"/>
      <c r="DA54" s="506"/>
      <c r="DB54" s="506"/>
      <c r="DC54" s="509"/>
      <c r="DD54" s="4"/>
      <c r="DE54" s="4"/>
      <c r="DF54" s="4"/>
    </row>
    <row r="55" spans="1:112">
      <c r="A55" s="505"/>
      <c r="B55" s="543" t="s">
        <v>825</v>
      </c>
      <c r="C55" s="548" t="str">
        <f>IF(F46="","",SUM(Y8*6)/(J7-V7))</f>
        <v/>
      </c>
      <c r="D55" s="545"/>
      <c r="E55" s="548" t="str">
        <f>IF(AJ46="","",(SUM(Y9*6)/(J7-V7)))</f>
        <v/>
      </c>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39"/>
      <c r="AD55" s="508"/>
      <c r="AE55" s="506"/>
      <c r="AF55" s="506"/>
      <c r="AG55" s="506"/>
      <c r="AH55" s="506"/>
      <c r="AI55" s="506"/>
      <c r="AJ55" s="506"/>
      <c r="AK55" s="506"/>
      <c r="AL55" s="506"/>
      <c r="AM55" s="506"/>
      <c r="AN55" s="506"/>
      <c r="AO55" s="506"/>
      <c r="AP55" s="506"/>
      <c r="AQ55" s="508"/>
      <c r="AR55" s="508"/>
      <c r="AS55" s="508"/>
      <c r="AT55" s="506"/>
      <c r="AU55" s="506"/>
      <c r="AV55" s="506"/>
      <c r="AW55" s="506"/>
      <c r="AX55" s="506"/>
      <c r="AY55" s="506"/>
      <c r="AZ55" s="506"/>
      <c r="BA55" s="506"/>
      <c r="BB55" s="506"/>
      <c r="BC55" s="506"/>
      <c r="BD55" s="506"/>
      <c r="BE55" s="506"/>
      <c r="BF55" s="506"/>
      <c r="BG55" s="506"/>
      <c r="BH55" s="506"/>
      <c r="BI55" s="506"/>
      <c r="BJ55" s="506"/>
      <c r="BK55" s="506"/>
      <c r="BL55" s="506"/>
      <c r="BM55" s="506"/>
      <c r="BN55" s="506"/>
      <c r="BO55" s="506"/>
      <c r="BP55" s="506"/>
      <c r="BQ55" s="506"/>
      <c r="BR55" s="506"/>
      <c r="BS55" s="506"/>
      <c r="BT55" s="506"/>
      <c r="BU55" s="506"/>
      <c r="BV55" s="506"/>
      <c r="BW55" s="506"/>
      <c r="BX55" s="506"/>
      <c r="BY55" s="506"/>
      <c r="BZ55" s="506"/>
      <c r="CA55" s="506"/>
      <c r="CB55" s="506"/>
      <c r="CC55" s="506"/>
      <c r="CD55" s="506"/>
      <c r="CE55" s="506"/>
      <c r="CF55" s="506"/>
      <c r="CG55" s="506"/>
      <c r="CH55" s="506"/>
      <c r="CI55" s="506"/>
      <c r="CJ55" s="506"/>
      <c r="CK55" s="506"/>
      <c r="CL55" s="506"/>
      <c r="CM55" s="506"/>
      <c r="CN55" s="506"/>
      <c r="CO55" s="506"/>
      <c r="CP55" s="506"/>
      <c r="CQ55" s="506"/>
      <c r="CR55" s="506"/>
      <c r="CS55" s="506"/>
      <c r="CT55" s="506"/>
      <c r="CU55" s="506"/>
      <c r="CV55" s="506"/>
      <c r="CW55" s="506"/>
      <c r="CX55" s="506"/>
      <c r="CY55" s="506"/>
      <c r="CZ55" s="506"/>
      <c r="DA55" s="506"/>
      <c r="DB55" s="506"/>
      <c r="DC55" s="509"/>
      <c r="DD55" s="4"/>
      <c r="DE55" s="4"/>
      <c r="DF55" s="4"/>
    </row>
    <row r="56" spans="1:112">
      <c r="A56" s="505"/>
      <c r="B56" s="543" t="s">
        <v>826</v>
      </c>
      <c r="C56" s="546" t="str">
        <f>IF(F46="","",AVERAGE(G47:AI47))</f>
        <v/>
      </c>
      <c r="D56" s="545"/>
      <c r="E56" s="546" t="str">
        <f>IF(AJ46="","",AVERAGE(G47:DA47))</f>
        <v/>
      </c>
      <c r="F56" s="508"/>
      <c r="G56" s="508"/>
      <c r="H56" s="508"/>
      <c r="I56" s="508"/>
      <c r="J56" s="508"/>
      <c r="K56" s="508"/>
      <c r="L56" s="508"/>
      <c r="M56" s="508"/>
      <c r="N56" s="508"/>
      <c r="O56" s="508"/>
      <c r="P56" s="508"/>
      <c r="Q56" s="508"/>
      <c r="R56" s="508"/>
      <c r="S56" s="508"/>
      <c r="T56" s="508"/>
      <c r="U56" s="508"/>
      <c r="V56" s="508"/>
      <c r="W56" s="508"/>
      <c r="X56" s="508"/>
      <c r="Y56" s="508"/>
      <c r="Z56" s="508"/>
      <c r="AA56" s="508"/>
      <c r="AB56" s="508"/>
      <c r="AC56" s="539"/>
      <c r="AD56" s="508"/>
      <c r="AE56" s="506"/>
      <c r="AF56" s="506"/>
      <c r="AG56" s="506"/>
      <c r="AH56" s="506"/>
      <c r="AI56" s="506"/>
      <c r="AJ56" s="506"/>
      <c r="AK56" s="506"/>
      <c r="AL56" s="506"/>
      <c r="AM56" s="506"/>
      <c r="AN56" s="506"/>
      <c r="AO56" s="506"/>
      <c r="AP56" s="506"/>
      <c r="AQ56" s="508"/>
      <c r="AR56" s="508"/>
      <c r="AS56" s="508"/>
      <c r="AT56" s="506"/>
      <c r="AU56" s="506"/>
      <c r="AV56" s="506"/>
      <c r="AW56" s="506"/>
      <c r="AX56" s="506"/>
      <c r="AY56" s="506"/>
      <c r="AZ56" s="506"/>
      <c r="BA56" s="506"/>
      <c r="BB56" s="506"/>
      <c r="BC56" s="506"/>
      <c r="BD56" s="506"/>
      <c r="BE56" s="506"/>
      <c r="BF56" s="506"/>
      <c r="BG56" s="506"/>
      <c r="BH56" s="506"/>
      <c r="BI56" s="506"/>
      <c r="BJ56" s="506"/>
      <c r="BK56" s="506"/>
      <c r="BL56" s="506"/>
      <c r="BM56" s="506"/>
      <c r="BN56" s="506"/>
      <c r="BO56" s="506"/>
      <c r="BP56" s="506"/>
      <c r="BQ56" s="506"/>
      <c r="BR56" s="506"/>
      <c r="BS56" s="506"/>
      <c r="BT56" s="506"/>
      <c r="BU56" s="506"/>
      <c r="BV56" s="506"/>
      <c r="BW56" s="506"/>
      <c r="BX56" s="506"/>
      <c r="BY56" s="506"/>
      <c r="BZ56" s="506"/>
      <c r="CA56" s="506"/>
      <c r="CB56" s="506"/>
      <c r="CC56" s="506"/>
      <c r="CD56" s="506"/>
      <c r="CE56" s="506"/>
      <c r="CF56" s="506"/>
      <c r="CG56" s="506"/>
      <c r="CH56" s="506"/>
      <c r="CI56" s="506"/>
      <c r="CJ56" s="506"/>
      <c r="CK56" s="506"/>
      <c r="CL56" s="506"/>
      <c r="CM56" s="506"/>
      <c r="CN56" s="506"/>
      <c r="CO56" s="506"/>
      <c r="CP56" s="506"/>
      <c r="CQ56" s="506"/>
      <c r="CR56" s="506"/>
      <c r="CS56" s="506"/>
      <c r="CT56" s="506"/>
      <c r="CU56" s="506"/>
      <c r="CV56" s="506"/>
      <c r="CW56" s="506"/>
      <c r="CX56" s="506"/>
      <c r="CY56" s="506"/>
      <c r="CZ56" s="506"/>
      <c r="DA56" s="506"/>
      <c r="DB56" s="506"/>
      <c r="DC56" s="509"/>
      <c r="DD56" s="4"/>
      <c r="DE56" s="4"/>
      <c r="DF56" s="4"/>
    </row>
    <row r="57" spans="1:112">
      <c r="A57" s="505"/>
      <c r="B57" s="543" t="s">
        <v>827</v>
      </c>
      <c r="C57" s="546" t="str">
        <f>IF(F46="","",SUM(H28*3.27))</f>
        <v/>
      </c>
      <c r="D57" s="545"/>
      <c r="E57" s="546" t="str">
        <f>IF(AJ46="","",SUM(H29*3.27))</f>
        <v/>
      </c>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39"/>
      <c r="AD57" s="508"/>
      <c r="AE57" s="506"/>
      <c r="AF57" s="506"/>
      <c r="AG57" s="506"/>
      <c r="AH57" s="506"/>
      <c r="AI57" s="506"/>
      <c r="AJ57" s="506"/>
      <c r="AK57" s="506"/>
      <c r="AL57" s="506"/>
      <c r="AM57" s="506"/>
      <c r="AN57" s="506"/>
      <c r="AO57" s="506"/>
      <c r="AP57" s="506"/>
      <c r="AQ57" s="508"/>
      <c r="AR57" s="508"/>
      <c r="AS57" s="508"/>
      <c r="AT57" s="506"/>
      <c r="AU57" s="506"/>
      <c r="AV57" s="506"/>
      <c r="AW57" s="506"/>
      <c r="AX57" s="506"/>
      <c r="AY57" s="506"/>
      <c r="AZ57" s="506"/>
      <c r="BA57" s="506"/>
      <c r="BB57" s="506"/>
      <c r="BC57" s="506"/>
      <c r="BD57" s="506"/>
      <c r="BE57" s="506"/>
      <c r="BF57" s="506"/>
      <c r="BG57" s="506"/>
      <c r="BH57" s="506"/>
      <c r="BI57" s="506"/>
      <c r="BJ57" s="506"/>
      <c r="BK57" s="506"/>
      <c r="BL57" s="506"/>
      <c r="BM57" s="506"/>
      <c r="BN57" s="506"/>
      <c r="BO57" s="506"/>
      <c r="BP57" s="506"/>
      <c r="BQ57" s="506"/>
      <c r="BR57" s="506"/>
      <c r="BS57" s="506"/>
      <c r="BT57" s="506"/>
      <c r="BU57" s="506"/>
      <c r="BV57" s="506"/>
      <c r="BW57" s="506"/>
      <c r="BX57" s="506"/>
      <c r="BY57" s="506"/>
      <c r="BZ57" s="506"/>
      <c r="CA57" s="506"/>
      <c r="CB57" s="506"/>
      <c r="CC57" s="506"/>
      <c r="CD57" s="506"/>
      <c r="CE57" s="506"/>
      <c r="CF57" s="506"/>
      <c r="CG57" s="506"/>
      <c r="CH57" s="506"/>
      <c r="CI57" s="506"/>
      <c r="CJ57" s="506"/>
      <c r="CK57" s="506"/>
      <c r="CL57" s="506"/>
      <c r="CM57" s="506"/>
      <c r="CN57" s="506"/>
      <c r="CO57" s="506"/>
      <c r="CP57" s="506"/>
      <c r="CQ57" s="506"/>
      <c r="CR57" s="506"/>
      <c r="CS57" s="506"/>
      <c r="CT57" s="506"/>
      <c r="CU57" s="506"/>
      <c r="CV57" s="506"/>
      <c r="CW57" s="506"/>
      <c r="CX57" s="506"/>
      <c r="CY57" s="506"/>
      <c r="CZ57" s="506"/>
      <c r="DA57" s="506"/>
      <c r="DB57" s="506"/>
      <c r="DC57" s="509"/>
      <c r="DD57" s="4"/>
      <c r="DE57" s="4"/>
      <c r="DF57" s="4"/>
    </row>
    <row r="58" spans="1:112">
      <c r="A58" s="505"/>
      <c r="B58" s="543" t="s">
        <v>828</v>
      </c>
      <c r="C58" s="549" t="str">
        <f>IF(F46="","",SUM(J7-I8)/Y8)</f>
        <v/>
      </c>
      <c r="D58" s="545"/>
      <c r="E58" s="549" t="str">
        <f>IF(AJ46="","",IF(J7="","",SUM(J7-I9)/Y9))</f>
        <v/>
      </c>
      <c r="F58" s="508"/>
      <c r="G58" s="508"/>
      <c r="H58" s="508"/>
      <c r="I58" s="508"/>
      <c r="J58" s="508"/>
      <c r="K58" s="508"/>
      <c r="L58" s="508"/>
      <c r="M58" s="508"/>
      <c r="N58" s="508"/>
      <c r="O58" s="508"/>
      <c r="P58" s="508"/>
      <c r="Q58" s="508"/>
      <c r="R58" s="508"/>
      <c r="S58" s="508"/>
      <c r="T58" s="508"/>
      <c r="U58" s="508"/>
      <c r="V58" s="508"/>
      <c r="W58" s="508"/>
      <c r="X58" s="508"/>
      <c r="Y58" s="508"/>
      <c r="Z58" s="508"/>
      <c r="AA58" s="508"/>
      <c r="AB58" s="508"/>
      <c r="AC58" s="539"/>
      <c r="AD58" s="508"/>
      <c r="AE58" s="506"/>
      <c r="AF58" s="506"/>
      <c r="AG58" s="506"/>
      <c r="AH58" s="506"/>
      <c r="AI58" s="506"/>
      <c r="AJ58" s="506"/>
      <c r="AK58" s="506"/>
      <c r="AL58" s="506"/>
      <c r="AM58" s="506"/>
      <c r="AN58" s="506"/>
      <c r="AO58" s="506"/>
      <c r="AP58" s="506"/>
      <c r="AQ58" s="508"/>
      <c r="AR58" s="508"/>
      <c r="AS58" s="508"/>
      <c r="AT58" s="506"/>
      <c r="AU58" s="506"/>
      <c r="AV58" s="506"/>
      <c r="AW58" s="506"/>
      <c r="AX58" s="506"/>
      <c r="AY58" s="506"/>
      <c r="AZ58" s="506"/>
      <c r="BA58" s="506"/>
      <c r="BB58" s="506"/>
      <c r="BC58" s="506"/>
      <c r="BD58" s="506"/>
      <c r="BE58" s="506"/>
      <c r="BF58" s="506"/>
      <c r="BG58" s="506"/>
      <c r="BH58" s="506"/>
      <c r="BI58" s="506"/>
      <c r="BJ58" s="506"/>
      <c r="BK58" s="506"/>
      <c r="BL58" s="506"/>
      <c r="BM58" s="506"/>
      <c r="BN58" s="506"/>
      <c r="BO58" s="506"/>
      <c r="BP58" s="506"/>
      <c r="BQ58" s="506"/>
      <c r="BR58" s="506"/>
      <c r="BS58" s="506"/>
      <c r="BT58" s="506"/>
      <c r="BU58" s="506"/>
      <c r="BV58" s="506"/>
      <c r="BW58" s="506"/>
      <c r="BX58" s="506"/>
      <c r="BY58" s="506"/>
      <c r="BZ58" s="506"/>
      <c r="CA58" s="506"/>
      <c r="CB58" s="506"/>
      <c r="CC58" s="506"/>
      <c r="CD58" s="506"/>
      <c r="CE58" s="506"/>
      <c r="CF58" s="506"/>
      <c r="CG58" s="506"/>
      <c r="CH58" s="506"/>
      <c r="CI58" s="506"/>
      <c r="CJ58" s="506"/>
      <c r="CK58" s="506"/>
      <c r="CL58" s="506"/>
      <c r="CM58" s="506"/>
      <c r="CN58" s="506"/>
      <c r="CO58" s="506"/>
      <c r="CP58" s="506"/>
      <c r="CQ58" s="506"/>
      <c r="CR58" s="506"/>
      <c r="CS58" s="506"/>
      <c r="CT58" s="506"/>
      <c r="CU58" s="506"/>
      <c r="CV58" s="506"/>
      <c r="CW58" s="506"/>
      <c r="CX58" s="506"/>
      <c r="CY58" s="506"/>
      <c r="CZ58" s="506"/>
      <c r="DA58" s="506"/>
      <c r="DB58" s="506"/>
      <c r="DC58" s="509"/>
      <c r="DD58" s="4"/>
      <c r="DE58" s="4"/>
      <c r="DF58" s="4"/>
    </row>
    <row r="59" spans="1:112">
      <c r="A59" s="505"/>
      <c r="B59" s="543" t="s">
        <v>829</v>
      </c>
      <c r="C59" s="549" t="str">
        <f>IF(F46="","",SUM(I8-V7)/Y8)</f>
        <v/>
      </c>
      <c r="D59" s="545"/>
      <c r="E59" s="549" t="str">
        <f>IF(V7="","",IF(AJ46="","",SUM(I9-V7)/Y9))</f>
        <v/>
      </c>
      <c r="F59" s="508"/>
      <c r="G59" s="508"/>
      <c r="H59" s="508"/>
      <c r="I59" s="508"/>
      <c r="J59" s="508"/>
      <c r="K59" s="508"/>
      <c r="L59" s="508"/>
      <c r="M59" s="508"/>
      <c r="N59" s="508"/>
      <c r="O59" s="508"/>
      <c r="P59" s="508"/>
      <c r="Q59" s="508"/>
      <c r="R59" s="508"/>
      <c r="S59" s="508"/>
      <c r="T59" s="508"/>
      <c r="U59" s="508"/>
      <c r="V59" s="508"/>
      <c r="W59" s="508"/>
      <c r="X59" s="508"/>
      <c r="Y59" s="508"/>
      <c r="Z59" s="508"/>
      <c r="AA59" s="508"/>
      <c r="AB59" s="508"/>
      <c r="AC59" s="539"/>
      <c r="AD59" s="508"/>
      <c r="AE59" s="506"/>
      <c r="AF59" s="506"/>
      <c r="AG59" s="506"/>
      <c r="AH59" s="506"/>
      <c r="AI59" s="506"/>
      <c r="AJ59" s="506"/>
      <c r="AK59" s="506"/>
      <c r="AL59" s="506"/>
      <c r="AM59" s="506"/>
      <c r="AN59" s="506"/>
      <c r="AO59" s="506"/>
      <c r="AP59" s="506"/>
      <c r="AQ59" s="508"/>
      <c r="AR59" s="508"/>
      <c r="AS59" s="508"/>
      <c r="AT59" s="506"/>
      <c r="AU59" s="506"/>
      <c r="AV59" s="506"/>
      <c r="AW59" s="506"/>
      <c r="AX59" s="506"/>
      <c r="AY59" s="506"/>
      <c r="AZ59" s="506"/>
      <c r="BA59" s="506"/>
      <c r="BB59" s="506"/>
      <c r="BC59" s="506"/>
      <c r="BD59" s="506"/>
      <c r="BE59" s="506"/>
      <c r="BF59" s="506"/>
      <c r="BG59" s="506"/>
      <c r="BH59" s="506"/>
      <c r="BI59" s="506"/>
      <c r="BJ59" s="506"/>
      <c r="BK59" s="506"/>
      <c r="BL59" s="506"/>
      <c r="BM59" s="506"/>
      <c r="BN59" s="506"/>
      <c r="BO59" s="506"/>
      <c r="BP59" s="506"/>
      <c r="BQ59" s="506"/>
      <c r="BR59" s="506"/>
      <c r="BS59" s="506"/>
      <c r="BT59" s="506"/>
      <c r="BU59" s="506"/>
      <c r="BV59" s="506"/>
      <c r="BW59" s="506"/>
      <c r="BX59" s="506"/>
      <c r="BY59" s="506"/>
      <c r="BZ59" s="506"/>
      <c r="CA59" s="506"/>
      <c r="CB59" s="506"/>
      <c r="CC59" s="506"/>
      <c r="CD59" s="506"/>
      <c r="CE59" s="506"/>
      <c r="CF59" s="506"/>
      <c r="CG59" s="506"/>
      <c r="CH59" s="506"/>
      <c r="CI59" s="506"/>
      <c r="CJ59" s="506"/>
      <c r="CK59" s="506"/>
      <c r="CL59" s="506"/>
      <c r="CM59" s="506"/>
      <c r="CN59" s="506"/>
      <c r="CO59" s="506"/>
      <c r="CP59" s="506"/>
      <c r="CQ59" s="506"/>
      <c r="CR59" s="506"/>
      <c r="CS59" s="506"/>
      <c r="CT59" s="506"/>
      <c r="CU59" s="506"/>
      <c r="CV59" s="506"/>
      <c r="CW59" s="506"/>
      <c r="CX59" s="506"/>
      <c r="CY59" s="506"/>
      <c r="CZ59" s="506"/>
      <c r="DA59" s="506"/>
      <c r="DB59" s="506"/>
      <c r="DC59" s="509"/>
      <c r="DD59" s="4"/>
      <c r="DE59" s="4"/>
      <c r="DF59" s="4"/>
    </row>
    <row r="60" spans="1:112">
      <c r="A60" s="505"/>
      <c r="B60" s="543" t="s">
        <v>830</v>
      </c>
      <c r="C60" s="547" t="str">
        <f>IF(F46="","",SKEW(F46:AH46))</f>
        <v/>
      </c>
      <c r="D60" s="545"/>
      <c r="E60" s="547" t="str">
        <f>IF(AJ46="","",SKEW(F46:DA46))</f>
        <v/>
      </c>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39"/>
      <c r="AD60" s="508"/>
      <c r="AE60" s="506"/>
      <c r="AF60" s="506"/>
      <c r="AG60" s="506"/>
      <c r="AH60" s="506"/>
      <c r="AI60" s="506"/>
      <c r="AJ60" s="506"/>
      <c r="AK60" s="506"/>
      <c r="AL60" s="506"/>
      <c r="AM60" s="506"/>
      <c r="AN60" s="506"/>
      <c r="AO60" s="506"/>
      <c r="AP60" s="506"/>
      <c r="AQ60" s="508"/>
      <c r="AR60" s="508"/>
      <c r="AS60" s="508"/>
      <c r="AT60" s="506"/>
      <c r="AU60" s="506"/>
      <c r="AV60" s="506"/>
      <c r="AW60" s="506"/>
      <c r="AX60" s="506"/>
      <c r="AY60" s="506"/>
      <c r="AZ60" s="506"/>
      <c r="BA60" s="506"/>
      <c r="BB60" s="506"/>
      <c r="BC60" s="506"/>
      <c r="BD60" s="506"/>
      <c r="BE60" s="506"/>
      <c r="BF60" s="506"/>
      <c r="BG60" s="506"/>
      <c r="BH60" s="506"/>
      <c r="BI60" s="506"/>
      <c r="BJ60" s="506"/>
      <c r="BK60" s="506"/>
      <c r="BL60" s="506"/>
      <c r="BM60" s="506"/>
      <c r="BN60" s="506"/>
      <c r="BO60" s="506"/>
      <c r="BP60" s="506"/>
      <c r="BQ60" s="506"/>
      <c r="BR60" s="506"/>
      <c r="BS60" s="506"/>
      <c r="BT60" s="506"/>
      <c r="BU60" s="506"/>
      <c r="BV60" s="506"/>
      <c r="BW60" s="506"/>
      <c r="BX60" s="506"/>
      <c r="BY60" s="506"/>
      <c r="BZ60" s="506"/>
      <c r="CA60" s="506"/>
      <c r="CB60" s="506"/>
      <c r="CC60" s="506"/>
      <c r="CD60" s="506"/>
      <c r="CE60" s="506"/>
      <c r="CF60" s="506"/>
      <c r="CG60" s="506"/>
      <c r="CH60" s="506"/>
      <c r="CI60" s="506"/>
      <c r="CJ60" s="506"/>
      <c r="CK60" s="506"/>
      <c r="CL60" s="506"/>
      <c r="CM60" s="506"/>
      <c r="CN60" s="506"/>
      <c r="CO60" s="506"/>
      <c r="CP60" s="506"/>
      <c r="CQ60" s="506"/>
      <c r="CR60" s="506"/>
      <c r="CS60" s="506"/>
      <c r="CT60" s="506"/>
      <c r="CU60" s="506"/>
      <c r="CV60" s="506"/>
      <c r="CW60" s="506"/>
      <c r="CX60" s="506"/>
      <c r="CY60" s="506"/>
      <c r="CZ60" s="506"/>
      <c r="DA60" s="506"/>
      <c r="DB60" s="506"/>
      <c r="DC60" s="509"/>
      <c r="DD60" s="4"/>
      <c r="DE60" s="4"/>
      <c r="DF60" s="4"/>
    </row>
    <row r="61" spans="1:112">
      <c r="A61" s="505"/>
      <c r="B61" s="543" t="s">
        <v>831</v>
      </c>
      <c r="C61" s="547" t="str">
        <f>IF(F46="","",KURT(F46:AI46))</f>
        <v/>
      </c>
      <c r="D61" s="545"/>
      <c r="E61" s="547" t="str">
        <f>IF(AJ46="","",KURT(F46:DA46))</f>
        <v/>
      </c>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39"/>
      <c r="AD61" s="508"/>
      <c r="AE61" s="506"/>
      <c r="AF61" s="506"/>
      <c r="AG61" s="506"/>
      <c r="AH61" s="506"/>
      <c r="AI61" s="506"/>
      <c r="AJ61" s="506"/>
      <c r="AK61" s="506"/>
      <c r="AL61" s="506"/>
      <c r="AM61" s="506"/>
      <c r="AN61" s="506"/>
      <c r="AO61" s="506"/>
      <c r="AP61" s="506"/>
      <c r="AQ61" s="508"/>
      <c r="AR61" s="508"/>
      <c r="AS61" s="508"/>
      <c r="AT61" s="506"/>
      <c r="AU61" s="506"/>
      <c r="AV61" s="506"/>
      <c r="AW61" s="506"/>
      <c r="AX61" s="506"/>
      <c r="AY61" s="506"/>
      <c r="AZ61" s="506"/>
      <c r="BA61" s="506"/>
      <c r="BB61" s="506"/>
      <c r="BC61" s="506"/>
      <c r="BD61" s="506"/>
      <c r="BE61" s="506"/>
      <c r="BF61" s="506"/>
      <c r="BG61" s="506"/>
      <c r="BH61" s="506"/>
      <c r="BI61" s="506"/>
      <c r="BJ61" s="506"/>
      <c r="BK61" s="506"/>
      <c r="BL61" s="506"/>
      <c r="BM61" s="506"/>
      <c r="BN61" s="506"/>
      <c r="BO61" s="506"/>
      <c r="BP61" s="506"/>
      <c r="BQ61" s="506"/>
      <c r="BR61" s="506"/>
      <c r="BS61" s="506"/>
      <c r="BT61" s="506"/>
      <c r="BU61" s="506"/>
      <c r="BV61" s="506"/>
      <c r="BW61" s="506"/>
      <c r="BX61" s="506"/>
      <c r="BY61" s="506"/>
      <c r="BZ61" s="506"/>
      <c r="CA61" s="506"/>
      <c r="CB61" s="506"/>
      <c r="CC61" s="506"/>
      <c r="CD61" s="506"/>
      <c r="CE61" s="506"/>
      <c r="CF61" s="506"/>
      <c r="CG61" s="506"/>
      <c r="CH61" s="506"/>
      <c r="CI61" s="506"/>
      <c r="CJ61" s="506"/>
      <c r="CK61" s="506"/>
      <c r="CL61" s="506"/>
      <c r="CM61" s="506"/>
      <c r="CN61" s="506"/>
      <c r="CO61" s="506"/>
      <c r="CP61" s="506"/>
      <c r="CQ61" s="506"/>
      <c r="CR61" s="506"/>
      <c r="CS61" s="506"/>
      <c r="CT61" s="506"/>
      <c r="CU61" s="506"/>
      <c r="CV61" s="506"/>
      <c r="CW61" s="506"/>
      <c r="CX61" s="506"/>
      <c r="CY61" s="506"/>
      <c r="CZ61" s="506"/>
      <c r="DA61" s="506"/>
      <c r="DB61" s="506"/>
      <c r="DC61" s="509"/>
      <c r="DD61" s="4"/>
      <c r="DE61" s="4"/>
      <c r="DF61" s="4"/>
    </row>
    <row r="62" spans="1:112">
      <c r="A62" s="505"/>
      <c r="B62" s="543" t="s">
        <v>832</v>
      </c>
      <c r="C62" s="549" t="str">
        <f>IF(F46="","",SUM(J7-I8)/Y8/3)</f>
        <v/>
      </c>
      <c r="D62" s="545"/>
      <c r="E62" s="549" t="str">
        <f>IF(AJ46="","",SUM(J7-I9)/Y9/3)</f>
        <v/>
      </c>
      <c r="F62" s="508"/>
      <c r="G62" s="508"/>
      <c r="H62" s="508"/>
      <c r="I62" s="508"/>
      <c r="J62" s="508"/>
      <c r="K62" s="508"/>
      <c r="L62" s="508"/>
      <c r="M62" s="508"/>
      <c r="N62" s="508"/>
      <c r="O62" s="508"/>
      <c r="P62" s="508"/>
      <c r="Q62" s="508"/>
      <c r="R62" s="508"/>
      <c r="S62" s="508"/>
      <c r="T62" s="508"/>
      <c r="U62" s="508"/>
      <c r="V62" s="508"/>
      <c r="W62" s="508"/>
      <c r="X62" s="508"/>
      <c r="Y62" s="508"/>
      <c r="Z62" s="508"/>
      <c r="AA62" s="508"/>
      <c r="AB62" s="508"/>
      <c r="AC62" s="539"/>
      <c r="AD62" s="508"/>
      <c r="AE62" s="506"/>
      <c r="AF62" s="506"/>
      <c r="AG62" s="506"/>
      <c r="AH62" s="506"/>
      <c r="AI62" s="506"/>
      <c r="AJ62" s="506"/>
      <c r="AK62" s="506"/>
      <c r="AL62" s="506"/>
      <c r="AM62" s="506"/>
      <c r="AN62" s="506"/>
      <c r="AO62" s="506"/>
      <c r="AP62" s="506"/>
      <c r="AQ62" s="508"/>
      <c r="AR62" s="508"/>
      <c r="AS62" s="508"/>
      <c r="AT62" s="506"/>
      <c r="AU62" s="506"/>
      <c r="AV62" s="506"/>
      <c r="AW62" s="506"/>
      <c r="AX62" s="506"/>
      <c r="AY62" s="506"/>
      <c r="AZ62" s="506"/>
      <c r="BA62" s="506"/>
      <c r="BB62" s="506"/>
      <c r="BC62" s="506"/>
      <c r="BD62" s="506"/>
      <c r="BE62" s="506"/>
      <c r="BF62" s="506"/>
      <c r="BG62" s="506"/>
      <c r="BH62" s="506"/>
      <c r="BI62" s="506"/>
      <c r="BJ62" s="506"/>
      <c r="BK62" s="506"/>
      <c r="BL62" s="506"/>
      <c r="BM62" s="506"/>
      <c r="BN62" s="506"/>
      <c r="BO62" s="506"/>
      <c r="BP62" s="506"/>
      <c r="BQ62" s="506"/>
      <c r="BR62" s="506"/>
      <c r="BS62" s="506"/>
      <c r="BT62" s="506"/>
      <c r="BU62" s="506"/>
      <c r="BV62" s="506"/>
      <c r="BW62" s="506"/>
      <c r="BX62" s="506"/>
      <c r="BY62" s="506"/>
      <c r="BZ62" s="506"/>
      <c r="CA62" s="506"/>
      <c r="CB62" s="506"/>
      <c r="CC62" s="506"/>
      <c r="CD62" s="506"/>
      <c r="CE62" s="506"/>
      <c r="CF62" s="506"/>
      <c r="CG62" s="506"/>
      <c r="CH62" s="506"/>
      <c r="CI62" s="506"/>
      <c r="CJ62" s="506"/>
      <c r="CK62" s="506"/>
      <c r="CL62" s="506"/>
      <c r="CM62" s="506"/>
      <c r="CN62" s="506"/>
      <c r="CO62" s="506"/>
      <c r="CP62" s="506"/>
      <c r="CQ62" s="506"/>
      <c r="CR62" s="506"/>
      <c r="CS62" s="506"/>
      <c r="CT62" s="506"/>
      <c r="CU62" s="506"/>
      <c r="CV62" s="506"/>
      <c r="CW62" s="506"/>
      <c r="CX62" s="506"/>
      <c r="CY62" s="506"/>
      <c r="CZ62" s="506"/>
      <c r="DA62" s="506"/>
      <c r="DB62" s="506"/>
      <c r="DC62" s="509"/>
      <c r="DD62" s="4"/>
      <c r="DE62" s="4"/>
      <c r="DF62" s="4"/>
    </row>
    <row r="63" spans="1:112">
      <c r="A63" s="505"/>
      <c r="B63" s="543" t="s">
        <v>833</v>
      </c>
      <c r="C63" s="549" t="str">
        <f>IF(F46="","",SUM(I8-V7)/Y8/3)</f>
        <v/>
      </c>
      <c r="D63" s="545"/>
      <c r="E63" s="549" t="str">
        <f>IF(AJ46="","",IF(V7="","",SUM(I9-V7)/Y9/3))</f>
        <v/>
      </c>
      <c r="F63" s="508"/>
      <c r="G63" s="508"/>
      <c r="H63" s="508"/>
      <c r="I63" s="508"/>
      <c r="J63" s="508"/>
      <c r="K63" s="508"/>
      <c r="L63" s="508"/>
      <c r="M63" s="508"/>
      <c r="N63" s="508"/>
      <c r="O63" s="508"/>
      <c r="P63" s="508"/>
      <c r="Q63" s="508"/>
      <c r="R63" s="508"/>
      <c r="S63" s="508"/>
      <c r="T63" s="508"/>
      <c r="U63" s="508"/>
      <c r="V63" s="508"/>
      <c r="W63" s="508"/>
      <c r="X63" s="508"/>
      <c r="Y63" s="508"/>
      <c r="Z63" s="508"/>
      <c r="AA63" s="508"/>
      <c r="AB63" s="508"/>
      <c r="AC63" s="539"/>
      <c r="AD63" s="508"/>
      <c r="AE63" s="506"/>
      <c r="AF63" s="506"/>
      <c r="AG63" s="506"/>
      <c r="AH63" s="506"/>
      <c r="AI63" s="506"/>
      <c r="AJ63" s="506"/>
      <c r="AK63" s="506"/>
      <c r="AL63" s="506"/>
      <c r="AM63" s="506"/>
      <c r="AN63" s="506"/>
      <c r="AO63" s="506"/>
      <c r="AP63" s="506"/>
      <c r="AQ63" s="508"/>
      <c r="AR63" s="508"/>
      <c r="AS63" s="508"/>
      <c r="AT63" s="506"/>
      <c r="AU63" s="506"/>
      <c r="AV63" s="506"/>
      <c r="AW63" s="506"/>
      <c r="AX63" s="506"/>
      <c r="AY63" s="506"/>
      <c r="AZ63" s="506"/>
      <c r="BA63" s="506"/>
      <c r="BB63" s="506"/>
      <c r="BC63" s="506"/>
      <c r="BD63" s="506"/>
      <c r="BE63" s="506"/>
      <c r="BF63" s="506"/>
      <c r="BG63" s="506"/>
      <c r="BH63" s="506"/>
      <c r="BI63" s="506"/>
      <c r="BJ63" s="506"/>
      <c r="BK63" s="506"/>
      <c r="BL63" s="506"/>
      <c r="BM63" s="506"/>
      <c r="BN63" s="506"/>
      <c r="BO63" s="506"/>
      <c r="BP63" s="506"/>
      <c r="BQ63" s="506"/>
      <c r="BR63" s="506"/>
      <c r="BS63" s="506"/>
      <c r="BT63" s="506"/>
      <c r="BU63" s="506"/>
      <c r="BV63" s="506"/>
      <c r="BW63" s="506"/>
      <c r="BX63" s="506"/>
      <c r="BY63" s="506"/>
      <c r="BZ63" s="506"/>
      <c r="CA63" s="506"/>
      <c r="CB63" s="506"/>
      <c r="CC63" s="506"/>
      <c r="CD63" s="506"/>
      <c r="CE63" s="506"/>
      <c r="CF63" s="506"/>
      <c r="CG63" s="506"/>
      <c r="CH63" s="506"/>
      <c r="CI63" s="506"/>
      <c r="CJ63" s="506"/>
      <c r="CK63" s="506"/>
      <c r="CL63" s="506"/>
      <c r="CM63" s="506"/>
      <c r="CN63" s="506"/>
      <c r="CO63" s="506"/>
      <c r="CP63" s="506"/>
      <c r="CQ63" s="506"/>
      <c r="CR63" s="506"/>
      <c r="CS63" s="506"/>
      <c r="CT63" s="506"/>
      <c r="CU63" s="506"/>
      <c r="CV63" s="506"/>
      <c r="CW63" s="506"/>
      <c r="CX63" s="506"/>
      <c r="CY63" s="506"/>
      <c r="CZ63" s="506"/>
      <c r="DA63" s="506"/>
      <c r="DB63" s="506"/>
      <c r="DC63" s="509"/>
      <c r="DD63" s="4"/>
      <c r="DE63" s="4"/>
      <c r="DF63" s="4"/>
    </row>
    <row r="64" spans="1:112">
      <c r="A64" s="505"/>
      <c r="B64" s="543" t="s">
        <v>622</v>
      </c>
      <c r="C64" s="547" t="str">
        <f>IF(F46="","",AVERAGE(F46:AI46))</f>
        <v/>
      </c>
      <c r="D64" s="545"/>
      <c r="E64" s="547" t="str">
        <f>IF(AJ46="","",AVERAGE(F46:DA46))</f>
        <v/>
      </c>
      <c r="F64" s="508"/>
      <c r="G64" s="508"/>
      <c r="H64" s="508"/>
      <c r="I64" s="508"/>
      <c r="J64" s="508"/>
      <c r="K64" s="508"/>
      <c r="L64" s="508"/>
      <c r="M64" s="508"/>
      <c r="N64" s="508"/>
      <c r="O64" s="508"/>
      <c r="P64" s="508"/>
      <c r="Q64" s="508"/>
      <c r="R64" s="508"/>
      <c r="S64" s="508"/>
      <c r="T64" s="508"/>
      <c r="U64" s="508"/>
      <c r="V64" s="508"/>
      <c r="W64" s="508"/>
      <c r="X64" s="508"/>
      <c r="Y64" s="508"/>
      <c r="Z64" s="508"/>
      <c r="AA64" s="508"/>
      <c r="AB64" s="508"/>
      <c r="AC64" s="539"/>
      <c r="AD64" s="508"/>
      <c r="AE64" s="506"/>
      <c r="AF64" s="506"/>
      <c r="AG64" s="506"/>
      <c r="AH64" s="506"/>
      <c r="AI64" s="506"/>
      <c r="AJ64" s="506"/>
      <c r="AK64" s="506"/>
      <c r="AL64" s="506"/>
      <c r="AM64" s="506"/>
      <c r="AN64" s="506"/>
      <c r="AO64" s="506"/>
      <c r="AP64" s="506"/>
      <c r="AQ64" s="508"/>
      <c r="AR64" s="508"/>
      <c r="AS64" s="508"/>
      <c r="AT64" s="506"/>
      <c r="AU64" s="506"/>
      <c r="AV64" s="506"/>
      <c r="AW64" s="506"/>
      <c r="AX64" s="506"/>
      <c r="AY64" s="506"/>
      <c r="AZ64" s="506"/>
      <c r="BA64" s="506"/>
      <c r="BB64" s="506"/>
      <c r="BC64" s="506"/>
      <c r="BD64" s="506"/>
      <c r="BE64" s="506"/>
      <c r="BF64" s="506"/>
      <c r="BG64" s="506"/>
      <c r="BH64" s="506"/>
      <c r="BI64" s="506"/>
      <c r="BJ64" s="506"/>
      <c r="BK64" s="506"/>
      <c r="BL64" s="506"/>
      <c r="BM64" s="506"/>
      <c r="BN64" s="506"/>
      <c r="BO64" s="506"/>
      <c r="BP64" s="506"/>
      <c r="BQ64" s="506"/>
      <c r="BR64" s="506"/>
      <c r="BS64" s="506"/>
      <c r="BT64" s="506"/>
      <c r="BU64" s="506"/>
      <c r="BV64" s="506"/>
      <c r="BW64" s="506"/>
      <c r="BX64" s="506"/>
      <c r="BY64" s="506"/>
      <c r="BZ64" s="506"/>
      <c r="CA64" s="506"/>
      <c r="CB64" s="506"/>
      <c r="CC64" s="506"/>
      <c r="CD64" s="506"/>
      <c r="CE64" s="506"/>
      <c r="CF64" s="506"/>
      <c r="CG64" s="506"/>
      <c r="CH64" s="506"/>
      <c r="CI64" s="506"/>
      <c r="CJ64" s="506"/>
      <c r="CK64" s="506"/>
      <c r="CL64" s="506"/>
      <c r="CM64" s="506"/>
      <c r="CN64" s="506"/>
      <c r="CO64" s="506"/>
      <c r="CP64" s="506"/>
      <c r="CQ64" s="506"/>
      <c r="CR64" s="506"/>
      <c r="CS64" s="506"/>
      <c r="CT64" s="506"/>
      <c r="CU64" s="506"/>
      <c r="CV64" s="506"/>
      <c r="CW64" s="506"/>
      <c r="CX64" s="506"/>
      <c r="CY64" s="506"/>
      <c r="CZ64" s="506"/>
      <c r="DA64" s="506"/>
      <c r="DB64" s="506"/>
      <c r="DC64" s="509"/>
      <c r="DD64" s="4"/>
      <c r="DE64" s="4"/>
      <c r="DF64" s="4"/>
    </row>
    <row r="65" spans="1:110">
      <c r="A65" s="550"/>
      <c r="B65" s="543" t="s">
        <v>258</v>
      </c>
      <c r="C65" s="547" t="str">
        <f>IF(F46="","",MAX(F46:AI46))</f>
        <v/>
      </c>
      <c r="D65" s="545"/>
      <c r="E65" s="547" t="str">
        <f>IF(AJ46="","",MAX(F46:DA46))</f>
        <v/>
      </c>
      <c r="F65" s="508"/>
      <c r="G65" s="508"/>
      <c r="H65" s="508"/>
      <c r="I65" s="508"/>
      <c r="J65" s="508"/>
      <c r="K65" s="508"/>
      <c r="L65" s="508"/>
      <c r="M65" s="508"/>
      <c r="N65" s="508"/>
      <c r="O65" s="508"/>
      <c r="P65" s="508"/>
      <c r="Q65" s="508"/>
      <c r="R65" s="508"/>
      <c r="S65" s="508"/>
      <c r="T65" s="508"/>
      <c r="U65" s="508"/>
      <c r="V65" s="508"/>
      <c r="W65" s="508"/>
      <c r="X65" s="508"/>
      <c r="Y65" s="508"/>
      <c r="Z65" s="506"/>
      <c r="AA65" s="508"/>
      <c r="AB65" s="508"/>
      <c r="AC65" s="508"/>
      <c r="AD65" s="508"/>
      <c r="AE65" s="506"/>
      <c r="AF65" s="506"/>
      <c r="AG65" s="506"/>
      <c r="AH65" s="506"/>
      <c r="AI65" s="506"/>
      <c r="AJ65" s="506"/>
      <c r="AK65" s="506"/>
      <c r="AL65" s="506"/>
      <c r="AM65" s="506"/>
      <c r="AN65" s="506"/>
      <c r="AO65" s="506"/>
      <c r="AP65" s="506"/>
      <c r="AQ65" s="508"/>
      <c r="AR65" s="508"/>
      <c r="AS65" s="508"/>
      <c r="AT65" s="506"/>
      <c r="AU65" s="506"/>
      <c r="AV65" s="506"/>
      <c r="AW65" s="506"/>
      <c r="AX65" s="506"/>
      <c r="AY65" s="506"/>
      <c r="AZ65" s="506"/>
      <c r="BA65" s="506"/>
      <c r="BB65" s="506"/>
      <c r="BC65" s="506"/>
      <c r="BD65" s="506"/>
      <c r="BE65" s="506"/>
      <c r="BF65" s="506"/>
      <c r="BG65" s="506"/>
      <c r="BH65" s="506"/>
      <c r="BI65" s="506"/>
      <c r="BJ65" s="506"/>
      <c r="BK65" s="506"/>
      <c r="BL65" s="506"/>
      <c r="BM65" s="506"/>
      <c r="BN65" s="506"/>
      <c r="BO65" s="506"/>
      <c r="BP65" s="506"/>
      <c r="BQ65" s="506"/>
      <c r="BR65" s="506"/>
      <c r="BS65" s="506"/>
      <c r="BT65" s="506"/>
      <c r="BU65" s="506"/>
      <c r="BV65" s="506"/>
      <c r="BW65" s="506"/>
      <c r="BX65" s="506"/>
      <c r="BY65" s="506"/>
      <c r="BZ65" s="506"/>
      <c r="CA65" s="506"/>
      <c r="CB65" s="506"/>
      <c r="CC65" s="506"/>
      <c r="CD65" s="506"/>
      <c r="CE65" s="506"/>
      <c r="CF65" s="506"/>
      <c r="CG65" s="506"/>
      <c r="CH65" s="506"/>
      <c r="CI65" s="506"/>
      <c r="CJ65" s="506"/>
      <c r="CK65" s="506"/>
      <c r="CL65" s="506"/>
      <c r="CM65" s="506"/>
      <c r="CN65" s="506"/>
      <c r="CO65" s="506"/>
      <c r="CP65" s="506"/>
      <c r="CQ65" s="506"/>
      <c r="CR65" s="506"/>
      <c r="CS65" s="506"/>
      <c r="CT65" s="506"/>
      <c r="CU65" s="506"/>
      <c r="CV65" s="506"/>
      <c r="CW65" s="984" t="s">
        <v>834</v>
      </c>
      <c r="CX65" s="985"/>
      <c r="CY65" s="985"/>
      <c r="CZ65" s="506"/>
      <c r="DA65" s="506"/>
      <c r="DB65" s="506"/>
      <c r="DC65" s="509"/>
      <c r="DD65" s="4"/>
      <c r="DE65" s="4"/>
      <c r="DF65" s="4"/>
    </row>
    <row r="66" spans="1:110" ht="12.75" customHeight="1">
      <c r="A66" s="505"/>
      <c r="B66" s="543" t="s">
        <v>257</v>
      </c>
      <c r="C66" s="547" t="str">
        <f>IF(F46="","",MIN(F46:AI46))</f>
        <v/>
      </c>
      <c r="D66" s="545"/>
      <c r="E66" s="547" t="str">
        <f>IF(AJ46="","",MIN(F46:DA46))</f>
        <v/>
      </c>
      <c r="F66" s="508"/>
      <c r="G66" s="508"/>
      <c r="H66" s="508"/>
      <c r="I66" s="508"/>
      <c r="J66" s="508"/>
      <c r="K66" s="508"/>
      <c r="L66" s="508"/>
      <c r="M66" s="508"/>
      <c r="N66" s="508"/>
      <c r="O66" s="508"/>
      <c r="P66" s="508"/>
      <c r="Q66" s="508"/>
      <c r="R66" s="508"/>
      <c r="S66" s="508"/>
      <c r="T66" s="508"/>
      <c r="U66" s="508"/>
      <c r="V66" s="508"/>
      <c r="W66" s="508"/>
      <c r="X66" s="508"/>
      <c r="Y66" s="508"/>
      <c r="Z66" s="508"/>
      <c r="AA66" s="508"/>
      <c r="AB66" s="506"/>
      <c r="AC66" s="539"/>
      <c r="AD66" s="506"/>
      <c r="AE66" s="506"/>
      <c r="AF66" s="506"/>
      <c r="AG66" s="506"/>
      <c r="AH66" s="506"/>
      <c r="AI66" s="506"/>
      <c r="AJ66" s="506"/>
      <c r="AK66" s="506"/>
      <c r="AL66" s="506"/>
      <c r="AM66" s="506"/>
      <c r="AN66" s="506"/>
      <c r="AO66" s="506"/>
      <c r="AP66" s="506"/>
      <c r="AQ66" s="508"/>
      <c r="AR66" s="508"/>
      <c r="AS66" s="508"/>
      <c r="AT66" s="506"/>
      <c r="AU66" s="506"/>
      <c r="AV66" s="506"/>
      <c r="AW66" s="506"/>
      <c r="AX66" s="506"/>
      <c r="AY66" s="506"/>
      <c r="AZ66" s="506"/>
      <c r="BA66" s="506"/>
      <c r="BB66" s="506"/>
      <c r="BC66" s="506"/>
      <c r="BD66" s="506"/>
      <c r="BE66" s="506"/>
      <c r="BF66" s="506"/>
      <c r="BG66" s="506"/>
      <c r="BH66" s="506"/>
      <c r="BI66" s="506"/>
      <c r="BJ66" s="506"/>
      <c r="BK66" s="506"/>
      <c r="BL66" s="506"/>
      <c r="BM66" s="506"/>
      <c r="BN66" s="506"/>
      <c r="BO66" s="506"/>
      <c r="BP66" s="506"/>
      <c r="BQ66" s="506"/>
      <c r="BR66" s="506"/>
      <c r="BS66" s="506"/>
      <c r="BT66" s="506"/>
      <c r="BU66" s="506"/>
      <c r="BV66" s="506"/>
      <c r="BW66" s="506"/>
      <c r="BX66" s="506"/>
      <c r="BY66" s="506"/>
      <c r="BZ66" s="506"/>
      <c r="CA66" s="506"/>
      <c r="CB66" s="506"/>
      <c r="CC66" s="506"/>
      <c r="CD66" s="506"/>
      <c r="CE66" s="506"/>
      <c r="CF66" s="506"/>
      <c r="CG66" s="506"/>
      <c r="CH66" s="506"/>
      <c r="CI66" s="506"/>
      <c r="CJ66" s="506"/>
      <c r="CK66" s="506"/>
      <c r="CL66" s="506"/>
      <c r="CM66" s="506"/>
      <c r="CN66" s="506"/>
      <c r="CO66" s="506"/>
      <c r="CP66" s="506"/>
      <c r="CQ66" s="506"/>
      <c r="CR66" s="506"/>
      <c r="CS66" s="506"/>
      <c r="CT66" s="506"/>
      <c r="CU66" s="506"/>
      <c r="CV66" s="506"/>
      <c r="CW66" s="506"/>
      <c r="CX66" s="506"/>
      <c r="CY66" s="506"/>
      <c r="CZ66" s="506"/>
      <c r="DA66" s="506"/>
      <c r="DB66" s="506"/>
      <c r="DC66" s="509"/>
      <c r="DD66" s="4"/>
      <c r="DE66" s="4"/>
      <c r="DF66" s="4"/>
    </row>
    <row r="67" spans="1:110" ht="12.75" customHeight="1">
      <c r="A67" s="505"/>
      <c r="B67" s="543" t="s">
        <v>835</v>
      </c>
      <c r="C67" s="547" t="str">
        <f>IF(F46="","",SUM(J7-V7)/(Y8*6))</f>
        <v/>
      </c>
      <c r="D67" s="545"/>
      <c r="E67" s="547" t="str">
        <f>IF(AJ46="","",SUM(J7-V7)/(Y9*6))</f>
        <v/>
      </c>
      <c r="F67" s="508"/>
      <c r="G67" s="508"/>
      <c r="H67" s="508"/>
      <c r="I67" s="508"/>
      <c r="J67" s="508"/>
      <c r="K67" s="508"/>
      <c r="L67" s="508"/>
      <c r="M67" s="508"/>
      <c r="N67" s="508"/>
      <c r="O67" s="508"/>
      <c r="P67" s="508"/>
      <c r="Q67" s="508"/>
      <c r="R67" s="508"/>
      <c r="S67" s="508"/>
      <c r="T67" s="508"/>
      <c r="U67" s="508"/>
      <c r="V67" s="508"/>
      <c r="W67" s="508"/>
      <c r="X67" s="508"/>
      <c r="Y67" s="508"/>
      <c r="Z67" s="508"/>
      <c r="AA67" s="508"/>
      <c r="AB67" s="506"/>
      <c r="AC67" s="539"/>
      <c r="AD67" s="506"/>
      <c r="AE67" s="506"/>
      <c r="AF67" s="506"/>
      <c r="AG67" s="506"/>
      <c r="AH67" s="506"/>
      <c r="AI67" s="506"/>
      <c r="AJ67" s="506"/>
      <c r="AK67" s="506"/>
      <c r="AL67" s="506"/>
      <c r="AM67" s="506"/>
      <c r="AN67" s="506"/>
      <c r="AO67" s="506"/>
      <c r="AP67" s="506"/>
      <c r="AQ67" s="508"/>
      <c r="AR67" s="508"/>
      <c r="AS67" s="508"/>
      <c r="AT67" s="506"/>
      <c r="AU67" s="506"/>
      <c r="AV67" s="506"/>
      <c r="AW67" s="506"/>
      <c r="AX67" s="506"/>
      <c r="AY67" s="506"/>
      <c r="AZ67" s="506"/>
      <c r="BA67" s="506"/>
      <c r="BB67" s="506"/>
      <c r="BC67" s="506"/>
      <c r="BD67" s="506"/>
      <c r="BE67" s="506"/>
      <c r="BF67" s="506"/>
      <c r="BG67" s="506"/>
      <c r="BH67" s="506"/>
      <c r="BI67" s="506"/>
      <c r="BJ67" s="506"/>
      <c r="BK67" s="506"/>
      <c r="BL67" s="506"/>
      <c r="BM67" s="506"/>
      <c r="BN67" s="506"/>
      <c r="BO67" s="506"/>
      <c r="BP67" s="506"/>
      <c r="BQ67" s="506"/>
      <c r="BR67" s="506"/>
      <c r="BS67" s="506"/>
      <c r="BT67" s="506"/>
      <c r="BU67" s="506"/>
      <c r="BV67" s="506"/>
      <c r="BW67" s="506"/>
      <c r="BX67" s="506"/>
      <c r="BY67" s="506"/>
      <c r="BZ67" s="506"/>
      <c r="CA67" s="506"/>
      <c r="CB67" s="506"/>
      <c r="CC67" s="506"/>
      <c r="CD67" s="506"/>
      <c r="CE67" s="506"/>
      <c r="CF67" s="506"/>
      <c r="CG67" s="506"/>
      <c r="CH67" s="506"/>
      <c r="CI67" s="506"/>
      <c r="CJ67" s="506"/>
      <c r="CK67" s="506"/>
      <c r="CL67" s="506"/>
      <c r="CM67" s="506"/>
      <c r="CN67" s="506"/>
      <c r="CO67" s="506"/>
      <c r="CP67" s="506"/>
      <c r="CQ67" s="506"/>
      <c r="CR67" s="506"/>
      <c r="CS67" s="506"/>
      <c r="CT67" s="506"/>
      <c r="CU67" s="506"/>
      <c r="CV67" s="506"/>
      <c r="CW67" s="506"/>
      <c r="CX67" s="506"/>
      <c r="CY67" s="506"/>
      <c r="CZ67" s="506"/>
      <c r="DA67" s="506"/>
      <c r="DB67" s="506"/>
      <c r="DC67" s="509"/>
      <c r="DD67" s="4"/>
      <c r="DE67" s="4"/>
      <c r="DF67" s="4"/>
    </row>
    <row r="68" spans="1:110">
      <c r="A68" s="508"/>
      <c r="B68" s="508"/>
      <c r="C68" s="508"/>
      <c r="D68" s="508"/>
      <c r="E68" s="508"/>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8"/>
      <c r="AD68" s="508"/>
      <c r="AE68" s="508"/>
      <c r="AF68" s="508"/>
      <c r="AG68" s="506"/>
      <c r="AH68" s="506"/>
      <c r="AI68" s="506"/>
      <c r="AJ68" s="506"/>
      <c r="AK68" s="506"/>
      <c r="AL68" s="506"/>
      <c r="AM68" s="506"/>
      <c r="AN68" s="506"/>
      <c r="AO68" s="506"/>
      <c r="AP68" s="506"/>
      <c r="AQ68" s="506"/>
      <c r="AR68" s="506"/>
      <c r="AS68" s="508"/>
      <c r="AT68" s="508"/>
      <c r="AU68" s="508"/>
      <c r="AV68" s="508"/>
      <c r="AW68" s="508"/>
      <c r="AX68" s="508"/>
      <c r="AY68" s="508"/>
      <c r="AZ68" s="508"/>
      <c r="BA68" s="508"/>
      <c r="BB68" s="508"/>
      <c r="BC68" s="508"/>
      <c r="BD68" s="508"/>
      <c r="BE68" s="508"/>
      <c r="BF68" s="508"/>
      <c r="BG68" s="508"/>
      <c r="BH68" s="508"/>
      <c r="BI68" s="508"/>
      <c r="BJ68" s="508"/>
      <c r="BK68" s="508"/>
      <c r="BL68" s="508"/>
      <c r="BM68" s="508"/>
      <c r="BN68" s="508"/>
      <c r="BO68" s="508"/>
      <c r="BP68" s="508"/>
      <c r="BQ68" s="508"/>
      <c r="BR68" s="508"/>
      <c r="BS68" s="508"/>
      <c r="BT68" s="508"/>
      <c r="BU68" s="508"/>
      <c r="BV68" s="508"/>
      <c r="BW68" s="508"/>
      <c r="BX68" s="508"/>
      <c r="BY68" s="508"/>
      <c r="BZ68" s="508"/>
      <c r="CA68" s="508"/>
      <c r="CB68" s="508"/>
      <c r="CC68" s="508"/>
      <c r="CD68" s="508"/>
      <c r="CE68" s="508"/>
      <c r="CF68" s="508"/>
      <c r="CG68" s="508"/>
      <c r="CH68" s="508"/>
      <c r="CI68" s="508"/>
      <c r="CJ68" s="508"/>
      <c r="CK68" s="508"/>
      <c r="CL68" s="508"/>
      <c r="CM68" s="508"/>
      <c r="CN68" s="508"/>
      <c r="CO68" s="508"/>
      <c r="CP68" s="508"/>
      <c r="CQ68" s="508"/>
      <c r="CR68" s="508"/>
      <c r="CS68" s="508"/>
      <c r="CT68" s="508"/>
      <c r="CU68" s="508"/>
      <c r="CV68" s="508"/>
      <c r="CW68" s="508"/>
      <c r="CX68" s="508"/>
      <c r="CY68" s="508"/>
      <c r="CZ68" s="508"/>
      <c r="DA68" s="508"/>
      <c r="DB68" s="508"/>
      <c r="DC68" s="508"/>
    </row>
    <row r="69" spans="1:110">
      <c r="A69" s="508"/>
      <c r="B69" s="508"/>
      <c r="C69" s="508"/>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8"/>
      <c r="AG69" s="506"/>
      <c r="AH69" s="506"/>
      <c r="AI69" s="506"/>
      <c r="AJ69" s="506"/>
      <c r="AK69" s="506"/>
      <c r="AL69" s="506"/>
      <c r="AM69" s="506"/>
      <c r="AN69" s="506"/>
      <c r="AO69" s="506"/>
      <c r="AP69" s="506"/>
      <c r="AQ69" s="506"/>
      <c r="AR69" s="506"/>
      <c r="AS69" s="508"/>
      <c r="AT69" s="508"/>
      <c r="AU69" s="508"/>
      <c r="AV69" s="508"/>
      <c r="AW69" s="508"/>
      <c r="AX69" s="508"/>
      <c r="AY69" s="508"/>
      <c r="AZ69" s="508"/>
      <c r="BA69" s="508"/>
      <c r="BB69" s="508"/>
      <c r="BC69" s="508"/>
      <c r="BD69" s="508"/>
      <c r="BE69" s="508"/>
      <c r="BF69" s="508"/>
      <c r="BG69" s="508"/>
      <c r="BH69" s="508"/>
      <c r="BI69" s="508"/>
      <c r="BJ69" s="508"/>
      <c r="BK69" s="508"/>
      <c r="BL69" s="508"/>
      <c r="BM69" s="508"/>
      <c r="BN69" s="508"/>
      <c r="BO69" s="508"/>
      <c r="BP69" s="508"/>
      <c r="BQ69" s="508"/>
      <c r="BR69" s="508"/>
      <c r="BS69" s="508"/>
      <c r="BT69" s="508"/>
      <c r="BU69" s="508"/>
      <c r="BV69" s="508"/>
      <c r="BW69" s="508"/>
      <c r="BX69" s="508"/>
      <c r="BY69" s="508"/>
      <c r="BZ69" s="508"/>
      <c r="CA69" s="508"/>
      <c r="CB69" s="508"/>
      <c r="CC69" s="508"/>
      <c r="CD69" s="508"/>
      <c r="CE69" s="508"/>
      <c r="CF69" s="508"/>
      <c r="CG69" s="508"/>
      <c r="CH69" s="508"/>
      <c r="CI69" s="508"/>
      <c r="CJ69" s="508"/>
      <c r="CK69" s="508"/>
      <c r="CL69" s="508"/>
      <c r="CM69" s="508"/>
      <c r="CN69" s="508"/>
      <c r="CO69" s="508"/>
      <c r="CP69" s="508"/>
      <c r="CQ69" s="508"/>
      <c r="CR69" s="508"/>
      <c r="CS69" s="508"/>
      <c r="CT69" s="508"/>
      <c r="CU69" s="508"/>
      <c r="CV69" s="508"/>
      <c r="CW69" s="508"/>
      <c r="CX69" s="508"/>
      <c r="CY69" s="508"/>
      <c r="CZ69" s="508"/>
      <c r="DA69" s="508"/>
      <c r="DB69" s="508"/>
      <c r="DC69" s="508"/>
    </row>
  </sheetData>
  <sheetProtection password="CC7D" sheet="1" objects="1" scenarios="1"/>
  <mergeCells count="27">
    <mergeCell ref="J2:W2"/>
    <mergeCell ref="B5:L5"/>
    <mergeCell ref="S5:AB5"/>
    <mergeCell ref="B6:L6"/>
    <mergeCell ref="M6:X6"/>
    <mergeCell ref="M5:R5"/>
    <mergeCell ref="C28:D28"/>
    <mergeCell ref="J7:L7"/>
    <mergeCell ref="M7:U7"/>
    <mergeCell ref="CW65:CY65"/>
    <mergeCell ref="B48:D48"/>
    <mergeCell ref="B32:B39"/>
    <mergeCell ref="Q8:S8"/>
    <mergeCell ref="B8:B27"/>
    <mergeCell ref="B7:I7"/>
    <mergeCell ref="AB7:AC7"/>
    <mergeCell ref="V7:X7"/>
    <mergeCell ref="Y7:AA7"/>
    <mergeCell ref="F8:H8"/>
    <mergeCell ref="L8:N8"/>
    <mergeCell ref="AC5:AN5"/>
    <mergeCell ref="AG7:AH7"/>
    <mergeCell ref="AK6:AW6"/>
    <mergeCell ref="AI7:AW7"/>
    <mergeCell ref="AO5:AW5"/>
    <mergeCell ref="Y6:AJ6"/>
    <mergeCell ref="AD7:AF7"/>
  </mergeCells>
  <phoneticPr fontId="0" type="noConversion"/>
  <conditionalFormatting sqref="Y28:Y30 AD28:AD30">
    <cfRule type="cellIs" dxfId="7" priority="1" stopIfTrue="1" operator="lessThan">
      <formula>1.33</formula>
    </cfRule>
    <cfRule type="cellIs" dxfId="6" priority="2" stopIfTrue="1" operator="greaterThanOrEqual">
      <formula>1.33</formula>
    </cfRule>
  </conditionalFormatting>
  <conditionalFormatting sqref="AB8:AB10">
    <cfRule type="cellIs" dxfId="5" priority="3" stopIfTrue="1" operator="greaterThanOrEqual">
      <formula>50</formula>
    </cfRule>
  </conditionalFormatting>
  <conditionalFormatting sqref="C62:E63">
    <cfRule type="cellIs" dxfId="4" priority="4" stopIfTrue="1" operator="greaterThanOrEqual">
      <formula>1.33</formula>
    </cfRule>
    <cfRule type="cellIs" dxfId="3" priority="5" stopIfTrue="1" operator="lessThan">
      <formula>1.33</formula>
    </cfRule>
  </conditionalFormatting>
  <conditionalFormatting sqref="F46:DA46">
    <cfRule type="cellIs" dxfId="2" priority="6" stopIfTrue="1" operator="greaterThan">
      <formula>$C$52</formula>
    </cfRule>
    <cfRule type="cellIs" dxfId="1" priority="7" stopIfTrue="1" operator="lessThan">
      <formula>$C$53</formula>
    </cfRule>
    <cfRule type="cellIs" dxfId="0" priority="8" stopIfTrue="1" operator="notBetween">
      <formula>$J$7</formula>
      <formula>$V$7</formula>
    </cfRule>
  </conditionalFormatting>
  <printOptions horizontalCentered="1" verticalCentered="1"/>
  <pageMargins left="0.25" right="0.25" top="0.41" bottom="0.8125" header="0.17" footer="0.16"/>
  <pageSetup scale="40" fitToHeight="27" orientation="landscape" r:id="rId1"/>
  <headerFooter alignWithMargins="0">
    <oddFooter xml:space="preserve">&amp;L&amp;6&amp;Z&amp;F&amp;CQAI_6012 AAR Mobility PPAP Workbook
</oddFooter>
  </headerFooter>
  <colBreaks count="2" manualBreakCount="2">
    <brk id="49" max="68" man="1"/>
    <brk id="81" max="72"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tabColor indexed="13"/>
    <pageSetUpPr fitToPage="1"/>
  </sheetPr>
  <dimension ref="A1:AK39"/>
  <sheetViews>
    <sheetView zoomScale="60" zoomScaleNormal="60" workbookViewId="0">
      <selection activeCell="O21" sqref="O21"/>
    </sheetView>
  </sheetViews>
  <sheetFormatPr defaultColWidth="9.140625" defaultRowHeight="12.75"/>
  <cols>
    <col min="1" max="1" width="27.42578125" style="475" customWidth="1"/>
    <col min="2" max="10" width="9.140625" style="475"/>
    <col min="11" max="12" width="2" style="475" customWidth="1"/>
    <col min="13" max="13" width="17.5703125" style="475" customWidth="1"/>
    <col min="14" max="17" width="9.140625" style="475"/>
    <col min="18" max="18" width="18" style="475" customWidth="1"/>
    <col min="19" max="19" width="2.140625" style="483" customWidth="1"/>
    <col min="20" max="21" width="9.140625" style="475"/>
    <col min="22" max="22" width="10.7109375" style="475" customWidth="1"/>
    <col min="23" max="23" width="10.28515625" style="475" customWidth="1"/>
    <col min="24" max="24" width="3.85546875" style="475" customWidth="1"/>
    <col min="25" max="25" width="17.42578125" style="475" customWidth="1"/>
    <col min="26" max="29" width="9.140625" style="475"/>
    <col min="30" max="30" width="27.42578125" style="475" customWidth="1"/>
    <col min="31" max="31" width="1.85546875" style="475" customWidth="1"/>
    <col min="32" max="34" width="9.140625" style="475"/>
    <col min="35" max="35" width="12.7109375" style="475" customWidth="1"/>
    <col min="36" max="16384" width="9.140625" style="475"/>
  </cols>
  <sheetData>
    <row r="1" spans="1:37">
      <c r="A1" s="994"/>
      <c r="B1" s="994"/>
      <c r="C1" s="994"/>
      <c r="D1" s="994"/>
      <c r="E1" s="994"/>
      <c r="F1" s="994"/>
      <c r="G1" s="994"/>
      <c r="H1" s="994"/>
      <c r="I1" s="994"/>
      <c r="J1" s="994"/>
      <c r="M1" s="994"/>
      <c r="N1" s="994"/>
      <c r="O1" s="994"/>
      <c r="P1" s="994"/>
      <c r="Q1" s="994"/>
      <c r="R1" s="994"/>
      <c r="S1" s="994"/>
      <c r="T1" s="994"/>
      <c r="U1" s="994"/>
      <c r="V1" s="994"/>
      <c r="W1" s="994"/>
      <c r="Y1" s="994"/>
      <c r="Z1" s="994"/>
      <c r="AA1" s="994"/>
      <c r="AB1" s="994"/>
      <c r="AC1" s="994"/>
      <c r="AD1" s="994"/>
      <c r="AE1" s="994"/>
      <c r="AF1" s="994"/>
      <c r="AG1" s="994"/>
      <c r="AH1" s="994"/>
      <c r="AI1" s="994"/>
    </row>
    <row r="2" spans="1:37">
      <c r="A2" s="994"/>
      <c r="B2" s="994"/>
      <c r="C2" s="994"/>
      <c r="D2" s="994"/>
      <c r="E2" s="994"/>
      <c r="F2" s="994"/>
      <c r="G2" s="994"/>
      <c r="H2" s="994"/>
      <c r="I2" s="994"/>
      <c r="J2" s="994"/>
      <c r="M2" s="994"/>
      <c r="N2" s="994"/>
      <c r="O2" s="994"/>
      <c r="P2" s="994"/>
      <c r="Q2" s="994"/>
      <c r="R2" s="994"/>
      <c r="S2" s="994"/>
      <c r="T2" s="994"/>
      <c r="U2" s="994"/>
      <c r="V2" s="994"/>
      <c r="W2" s="994"/>
      <c r="Y2" s="994"/>
      <c r="Z2" s="994"/>
      <c r="AA2" s="994"/>
      <c r="AB2" s="994"/>
      <c r="AC2" s="994"/>
      <c r="AD2" s="994"/>
      <c r="AE2" s="994"/>
      <c r="AF2" s="994"/>
      <c r="AG2" s="994"/>
      <c r="AH2" s="994"/>
      <c r="AI2" s="994"/>
    </row>
    <row r="3" spans="1:37">
      <c r="A3" s="994"/>
      <c r="B3" s="994"/>
      <c r="C3" s="994"/>
      <c r="D3" s="994"/>
      <c r="E3" s="994"/>
      <c r="F3" s="994"/>
      <c r="G3" s="994"/>
      <c r="H3" s="994"/>
      <c r="I3" s="994"/>
      <c r="J3" s="994"/>
      <c r="M3" s="994"/>
      <c r="N3" s="994"/>
      <c r="O3" s="994"/>
      <c r="P3" s="994"/>
      <c r="Q3" s="994"/>
      <c r="R3" s="994"/>
      <c r="S3" s="994"/>
      <c r="T3" s="994"/>
      <c r="U3" s="994"/>
      <c r="V3" s="994"/>
      <c r="W3" s="994"/>
      <c r="Y3" s="994"/>
      <c r="Z3" s="994"/>
      <c r="AA3" s="994"/>
      <c r="AB3" s="994"/>
      <c r="AC3" s="994"/>
      <c r="AD3" s="994"/>
      <c r="AE3" s="994"/>
      <c r="AF3" s="994"/>
      <c r="AG3" s="994"/>
      <c r="AH3" s="994"/>
      <c r="AI3" s="994"/>
    </row>
    <row r="4" spans="1:37">
      <c r="A4" s="994"/>
      <c r="B4" s="994"/>
      <c r="C4" s="994"/>
      <c r="D4" s="994"/>
      <c r="E4" s="994"/>
      <c r="F4" s="994"/>
      <c r="G4" s="994"/>
      <c r="H4" s="994"/>
      <c r="I4" s="994"/>
      <c r="J4" s="994"/>
      <c r="M4" s="994"/>
      <c r="N4" s="994"/>
      <c r="O4" s="994"/>
      <c r="P4" s="994"/>
      <c r="Q4" s="994"/>
      <c r="R4" s="994"/>
      <c r="S4" s="994"/>
      <c r="T4" s="994"/>
      <c r="U4" s="994"/>
      <c r="V4" s="994"/>
      <c r="W4" s="994"/>
      <c r="Y4" s="994"/>
      <c r="Z4" s="994"/>
      <c r="AA4" s="994"/>
      <c r="AB4" s="994"/>
      <c r="AC4" s="994"/>
      <c r="AD4" s="994"/>
      <c r="AE4" s="994"/>
      <c r="AF4" s="994"/>
      <c r="AG4" s="994"/>
      <c r="AH4" s="994"/>
      <c r="AI4" s="994"/>
    </row>
    <row r="5" spans="1:37">
      <c r="A5" s="995"/>
      <c r="B5" s="995"/>
      <c r="C5" s="995"/>
      <c r="D5" s="995"/>
      <c r="E5" s="995"/>
      <c r="F5" s="995"/>
      <c r="G5" s="995"/>
      <c r="H5" s="995"/>
      <c r="I5" s="995"/>
      <c r="J5" s="994"/>
      <c r="M5" s="995"/>
      <c r="N5" s="995"/>
      <c r="O5" s="995"/>
      <c r="P5" s="995"/>
      <c r="Q5" s="995"/>
      <c r="R5" s="995"/>
      <c r="S5" s="995"/>
      <c r="T5" s="995"/>
      <c r="U5" s="995"/>
      <c r="V5" s="995"/>
      <c r="W5" s="994"/>
      <c r="Y5" s="995"/>
      <c r="Z5" s="995"/>
      <c r="AA5" s="995"/>
      <c r="AB5" s="995"/>
      <c r="AC5" s="995"/>
      <c r="AD5" s="995"/>
      <c r="AE5" s="995"/>
      <c r="AF5" s="995"/>
      <c r="AG5" s="995"/>
      <c r="AH5" s="995"/>
      <c r="AI5" s="994"/>
    </row>
    <row r="6" spans="1:37" ht="76.5" customHeight="1">
      <c r="A6" s="90" t="s">
        <v>182</v>
      </c>
      <c r="B6" s="1003" t="s">
        <v>183</v>
      </c>
      <c r="C6" s="1004"/>
      <c r="D6" s="1004"/>
      <c r="E6" s="1004"/>
      <c r="F6" s="1004"/>
      <c r="G6" s="1004"/>
      <c r="H6" s="1004"/>
      <c r="I6" s="1004"/>
      <c r="J6" s="91" t="s">
        <v>184</v>
      </c>
      <c r="M6" s="96" t="s">
        <v>215</v>
      </c>
      <c r="N6" s="1000" t="s">
        <v>755</v>
      </c>
      <c r="O6" s="1000"/>
      <c r="P6" s="1000"/>
      <c r="Q6" s="1000"/>
      <c r="R6" s="1000"/>
      <c r="S6" s="97"/>
      <c r="T6" s="1000" t="s">
        <v>756</v>
      </c>
      <c r="U6" s="1001"/>
      <c r="V6" s="1001"/>
      <c r="W6" s="96" t="s">
        <v>184</v>
      </c>
      <c r="X6" s="474"/>
      <c r="Y6" s="99" t="s">
        <v>232</v>
      </c>
      <c r="Z6" s="996" t="s">
        <v>757</v>
      </c>
      <c r="AA6" s="996"/>
      <c r="AB6" s="996"/>
      <c r="AC6" s="996"/>
      <c r="AD6" s="996"/>
      <c r="AE6" s="100"/>
      <c r="AF6" s="99" t="s">
        <v>184</v>
      </c>
      <c r="AG6" s="996" t="s">
        <v>234</v>
      </c>
      <c r="AH6" s="997"/>
      <c r="AI6" s="997"/>
    </row>
    <row r="7" spans="1:37" ht="40.5" customHeight="1">
      <c r="A7" s="998" t="s">
        <v>186</v>
      </c>
      <c r="B7" s="998" t="s">
        <v>187</v>
      </c>
      <c r="C7" s="998"/>
      <c r="D7" s="998"/>
      <c r="E7" s="998"/>
      <c r="F7" s="998"/>
      <c r="G7" s="998"/>
      <c r="H7" s="998"/>
      <c r="I7" s="998"/>
      <c r="J7" s="477">
        <v>10</v>
      </c>
      <c r="M7" s="477" t="s">
        <v>217</v>
      </c>
      <c r="N7" s="992" t="s">
        <v>758</v>
      </c>
      <c r="O7" s="992"/>
      <c r="P7" s="992"/>
      <c r="Q7" s="992"/>
      <c r="R7" s="992"/>
      <c r="S7" s="479"/>
      <c r="T7" s="992" t="s">
        <v>218</v>
      </c>
      <c r="U7" s="992"/>
      <c r="V7" s="992"/>
      <c r="W7" s="477">
        <v>10</v>
      </c>
      <c r="Y7" s="478" t="s">
        <v>235</v>
      </c>
      <c r="Z7" s="992" t="s">
        <v>759</v>
      </c>
      <c r="AA7" s="992"/>
      <c r="AB7" s="992"/>
      <c r="AC7" s="992"/>
      <c r="AD7" s="992"/>
      <c r="AE7" s="479"/>
      <c r="AF7" s="477">
        <v>10</v>
      </c>
      <c r="AG7" s="993" t="s">
        <v>237</v>
      </c>
      <c r="AH7" s="993"/>
      <c r="AI7" s="993"/>
      <c r="AK7" s="475">
        <v>7</v>
      </c>
    </row>
    <row r="8" spans="1:37" ht="68.25" customHeight="1">
      <c r="A8" s="998"/>
      <c r="B8" s="998" t="s">
        <v>190</v>
      </c>
      <c r="C8" s="998"/>
      <c r="D8" s="998"/>
      <c r="E8" s="998"/>
      <c r="F8" s="998"/>
      <c r="G8" s="998"/>
      <c r="H8" s="998"/>
      <c r="I8" s="998"/>
      <c r="J8" s="477">
        <v>9</v>
      </c>
      <c r="M8" s="993" t="s">
        <v>219</v>
      </c>
      <c r="N8" s="992" t="s">
        <v>760</v>
      </c>
      <c r="O8" s="992"/>
      <c r="P8" s="992"/>
      <c r="Q8" s="992"/>
      <c r="R8" s="992"/>
      <c r="S8" s="479"/>
      <c r="T8" s="992" t="s">
        <v>761</v>
      </c>
      <c r="U8" s="992"/>
      <c r="V8" s="992"/>
      <c r="W8" s="477">
        <v>9</v>
      </c>
      <c r="Y8" s="478" t="s">
        <v>238</v>
      </c>
      <c r="Z8" s="992" t="s">
        <v>777</v>
      </c>
      <c r="AA8" s="992"/>
      <c r="AB8" s="992"/>
      <c r="AC8" s="992"/>
      <c r="AD8" s="992"/>
      <c r="AE8" s="479"/>
      <c r="AF8" s="477">
        <v>9</v>
      </c>
      <c r="AG8" s="993" t="s">
        <v>240</v>
      </c>
      <c r="AH8" s="993"/>
      <c r="AI8" s="993"/>
    </row>
    <row r="9" spans="1:37" ht="65.25" customHeight="1">
      <c r="A9" s="1002" t="s">
        <v>192</v>
      </c>
      <c r="B9" s="998" t="s">
        <v>193</v>
      </c>
      <c r="C9" s="998"/>
      <c r="D9" s="998"/>
      <c r="E9" s="998"/>
      <c r="F9" s="998"/>
      <c r="G9" s="998"/>
      <c r="H9" s="998"/>
      <c r="I9" s="998"/>
      <c r="J9" s="477">
        <v>8</v>
      </c>
      <c r="M9" s="993"/>
      <c r="N9" s="992" t="s">
        <v>762</v>
      </c>
      <c r="O9" s="992"/>
      <c r="P9" s="992"/>
      <c r="Q9" s="992"/>
      <c r="R9" s="992"/>
      <c r="S9" s="479"/>
      <c r="T9" s="992" t="s">
        <v>221</v>
      </c>
      <c r="U9" s="992"/>
      <c r="V9" s="992"/>
      <c r="W9" s="477">
        <v>8</v>
      </c>
      <c r="Y9" s="992" t="s">
        <v>763</v>
      </c>
      <c r="Z9" s="992" t="s">
        <v>778</v>
      </c>
      <c r="AA9" s="992"/>
      <c r="AB9" s="992"/>
      <c r="AC9" s="992"/>
      <c r="AD9" s="992"/>
      <c r="AE9" s="479"/>
      <c r="AF9" s="477">
        <v>8</v>
      </c>
      <c r="AG9" s="993" t="s">
        <v>243</v>
      </c>
      <c r="AH9" s="993"/>
      <c r="AI9" s="993"/>
    </row>
    <row r="10" spans="1:37" ht="65.25" customHeight="1">
      <c r="A10" s="1002"/>
      <c r="B10" s="998" t="s">
        <v>196</v>
      </c>
      <c r="C10" s="998"/>
      <c r="D10" s="998"/>
      <c r="E10" s="998"/>
      <c r="F10" s="998"/>
      <c r="G10" s="998"/>
      <c r="H10" s="998"/>
      <c r="I10" s="998"/>
      <c r="J10" s="477">
        <v>7</v>
      </c>
      <c r="M10" s="993"/>
      <c r="N10" s="992" t="s">
        <v>764</v>
      </c>
      <c r="O10" s="992"/>
      <c r="P10" s="992"/>
      <c r="Q10" s="992"/>
      <c r="R10" s="992"/>
      <c r="S10" s="479"/>
      <c r="T10" s="992" t="s">
        <v>765</v>
      </c>
      <c r="U10" s="992"/>
      <c r="V10" s="992"/>
      <c r="W10" s="477">
        <v>7</v>
      </c>
      <c r="Y10" s="999"/>
      <c r="Z10" s="992" t="s">
        <v>779</v>
      </c>
      <c r="AA10" s="992"/>
      <c r="AB10" s="992"/>
      <c r="AC10" s="992"/>
      <c r="AD10" s="992"/>
      <c r="AE10" s="479"/>
      <c r="AF10" s="477">
        <v>7</v>
      </c>
      <c r="AG10" s="993" t="s">
        <v>230</v>
      </c>
      <c r="AH10" s="993"/>
      <c r="AI10" s="993"/>
    </row>
    <row r="11" spans="1:37" ht="63" customHeight="1">
      <c r="A11" s="1002" t="s">
        <v>199</v>
      </c>
      <c r="B11" s="998" t="s">
        <v>200</v>
      </c>
      <c r="C11" s="998"/>
      <c r="D11" s="998"/>
      <c r="E11" s="998"/>
      <c r="F11" s="998"/>
      <c r="G11" s="998"/>
      <c r="H11" s="998"/>
      <c r="I11" s="998"/>
      <c r="J11" s="477">
        <v>6</v>
      </c>
      <c r="M11" s="993" t="s">
        <v>223</v>
      </c>
      <c r="N11" s="992" t="s">
        <v>766</v>
      </c>
      <c r="O11" s="992"/>
      <c r="P11" s="992"/>
      <c r="Q11" s="992"/>
      <c r="R11" s="992"/>
      <c r="S11" s="479"/>
      <c r="T11" s="992" t="s">
        <v>224</v>
      </c>
      <c r="U11" s="992"/>
      <c r="V11" s="992"/>
      <c r="W11" s="477">
        <v>6</v>
      </c>
      <c r="Y11" s="999"/>
      <c r="Z11" s="992" t="s">
        <v>780</v>
      </c>
      <c r="AA11" s="992"/>
      <c r="AB11" s="992"/>
      <c r="AC11" s="992"/>
      <c r="AD11" s="992"/>
      <c r="AE11" s="479"/>
      <c r="AF11" s="477">
        <v>6</v>
      </c>
      <c r="AG11" s="993" t="s">
        <v>227</v>
      </c>
      <c r="AH11" s="993"/>
      <c r="AI11" s="993"/>
    </row>
    <row r="12" spans="1:37" ht="66.75" customHeight="1">
      <c r="A12" s="1002"/>
      <c r="B12" s="998" t="s">
        <v>203</v>
      </c>
      <c r="C12" s="998"/>
      <c r="D12" s="998"/>
      <c r="E12" s="998"/>
      <c r="F12" s="998"/>
      <c r="G12" s="998"/>
      <c r="H12" s="998"/>
      <c r="I12" s="998"/>
      <c r="J12" s="477">
        <v>5</v>
      </c>
      <c r="M12" s="993"/>
      <c r="N12" s="992" t="s">
        <v>767</v>
      </c>
      <c r="O12" s="992"/>
      <c r="P12" s="992"/>
      <c r="Q12" s="992"/>
      <c r="R12" s="992"/>
      <c r="S12" s="479"/>
      <c r="T12" s="992" t="s">
        <v>225</v>
      </c>
      <c r="U12" s="992"/>
      <c r="V12" s="992"/>
      <c r="W12" s="477">
        <v>5</v>
      </c>
      <c r="Y12" s="998" t="s">
        <v>768</v>
      </c>
      <c r="Z12" s="992" t="s">
        <v>781</v>
      </c>
      <c r="AA12" s="992"/>
      <c r="AB12" s="992"/>
      <c r="AC12" s="992"/>
      <c r="AD12" s="992"/>
      <c r="AE12" s="479"/>
      <c r="AF12" s="477">
        <v>5</v>
      </c>
      <c r="AG12" s="993" t="s">
        <v>223</v>
      </c>
      <c r="AH12" s="993"/>
      <c r="AI12" s="993"/>
    </row>
    <row r="13" spans="1:37" ht="73.5" customHeight="1">
      <c r="A13" s="1002" t="s">
        <v>205</v>
      </c>
      <c r="B13" s="998" t="s">
        <v>206</v>
      </c>
      <c r="C13" s="998"/>
      <c r="D13" s="998"/>
      <c r="E13" s="998"/>
      <c r="F13" s="998"/>
      <c r="G13" s="998"/>
      <c r="H13" s="998"/>
      <c r="I13" s="998"/>
      <c r="J13" s="477">
        <v>4</v>
      </c>
      <c r="M13" s="993"/>
      <c r="N13" s="992" t="s">
        <v>769</v>
      </c>
      <c r="O13" s="992"/>
      <c r="P13" s="992"/>
      <c r="Q13" s="992"/>
      <c r="R13" s="992"/>
      <c r="S13" s="479"/>
      <c r="T13" s="992" t="s">
        <v>770</v>
      </c>
      <c r="U13" s="992"/>
      <c r="V13" s="992"/>
      <c r="W13" s="477">
        <v>4</v>
      </c>
      <c r="Y13" s="998"/>
      <c r="Z13" s="992" t="s">
        <v>782</v>
      </c>
      <c r="AA13" s="992"/>
      <c r="AB13" s="992"/>
      <c r="AC13" s="992"/>
      <c r="AD13" s="992"/>
      <c r="AE13" s="479"/>
      <c r="AF13" s="477">
        <v>4</v>
      </c>
      <c r="AG13" s="993" t="s">
        <v>249</v>
      </c>
      <c r="AH13" s="993"/>
      <c r="AI13" s="993"/>
    </row>
    <row r="14" spans="1:37" ht="51" customHeight="1">
      <c r="A14" s="1002"/>
      <c r="B14" s="998" t="s">
        <v>208</v>
      </c>
      <c r="C14" s="998"/>
      <c r="D14" s="998"/>
      <c r="E14" s="998"/>
      <c r="F14" s="998"/>
      <c r="G14" s="998"/>
      <c r="H14" s="998"/>
      <c r="I14" s="998"/>
      <c r="J14" s="477">
        <v>3</v>
      </c>
      <c r="M14" s="993" t="s">
        <v>227</v>
      </c>
      <c r="N14" s="992" t="s">
        <v>771</v>
      </c>
      <c r="O14" s="992"/>
      <c r="P14" s="992"/>
      <c r="Q14" s="992"/>
      <c r="R14" s="992"/>
      <c r="S14" s="479"/>
      <c r="T14" s="992" t="s">
        <v>228</v>
      </c>
      <c r="U14" s="992"/>
      <c r="V14" s="992"/>
      <c r="W14" s="477">
        <v>3</v>
      </c>
      <c r="Y14" s="998"/>
      <c r="Z14" s="992" t="s">
        <v>783</v>
      </c>
      <c r="AA14" s="992"/>
      <c r="AB14" s="992"/>
      <c r="AC14" s="992"/>
      <c r="AD14" s="992"/>
      <c r="AE14" s="479"/>
      <c r="AF14" s="477">
        <v>3</v>
      </c>
      <c r="AG14" s="993" t="s">
        <v>219</v>
      </c>
      <c r="AH14" s="993"/>
      <c r="AI14" s="993"/>
    </row>
    <row r="15" spans="1:37" ht="74.25" customHeight="1">
      <c r="A15" s="999"/>
      <c r="B15" s="998" t="s">
        <v>210</v>
      </c>
      <c r="C15" s="998"/>
      <c r="D15" s="998"/>
      <c r="E15" s="998"/>
      <c r="F15" s="998"/>
      <c r="G15" s="998"/>
      <c r="H15" s="998"/>
      <c r="I15" s="998"/>
      <c r="J15" s="477">
        <v>2</v>
      </c>
      <c r="M15" s="993"/>
      <c r="N15" s="992" t="s">
        <v>772</v>
      </c>
      <c r="O15" s="992"/>
      <c r="P15" s="992"/>
      <c r="Q15" s="992"/>
      <c r="R15" s="992"/>
      <c r="S15" s="479"/>
      <c r="T15" s="992" t="s">
        <v>773</v>
      </c>
      <c r="U15" s="992"/>
      <c r="V15" s="992"/>
      <c r="W15" s="477">
        <v>2</v>
      </c>
      <c r="Y15" s="478" t="s">
        <v>774</v>
      </c>
      <c r="Z15" s="992" t="s">
        <v>7</v>
      </c>
      <c r="AA15" s="992"/>
      <c r="AB15" s="992"/>
      <c r="AC15" s="992"/>
      <c r="AD15" s="992"/>
      <c r="AE15" s="479"/>
      <c r="AF15" s="477">
        <v>2</v>
      </c>
      <c r="AG15" s="993" t="s">
        <v>217</v>
      </c>
      <c r="AH15" s="993"/>
      <c r="AI15" s="993"/>
    </row>
    <row r="16" spans="1:37" ht="64.5" customHeight="1">
      <c r="A16" s="480" t="s">
        <v>213</v>
      </c>
      <c r="B16" s="998" t="s">
        <v>214</v>
      </c>
      <c r="C16" s="998"/>
      <c r="D16" s="998"/>
      <c r="E16" s="998"/>
      <c r="F16" s="998"/>
      <c r="G16" s="998"/>
      <c r="H16" s="998"/>
      <c r="I16" s="998"/>
      <c r="J16" s="477">
        <v>1</v>
      </c>
      <c r="M16" s="477" t="s">
        <v>230</v>
      </c>
      <c r="N16" s="992" t="s">
        <v>775</v>
      </c>
      <c r="O16" s="992"/>
      <c r="P16" s="992"/>
      <c r="Q16" s="992"/>
      <c r="R16" s="992"/>
      <c r="S16" s="479"/>
      <c r="T16" s="992" t="s">
        <v>231</v>
      </c>
      <c r="U16" s="992"/>
      <c r="V16" s="992"/>
      <c r="W16" s="477">
        <v>1</v>
      </c>
      <c r="Y16" s="478" t="s">
        <v>253</v>
      </c>
      <c r="Z16" s="992" t="s">
        <v>776</v>
      </c>
      <c r="AA16" s="992"/>
      <c r="AB16" s="992"/>
      <c r="AC16" s="992"/>
      <c r="AD16" s="992"/>
      <c r="AE16" s="479"/>
      <c r="AF16" s="477">
        <v>1</v>
      </c>
      <c r="AG16" s="993" t="s">
        <v>255</v>
      </c>
      <c r="AH16" s="993"/>
      <c r="AI16" s="993"/>
    </row>
    <row r="17" spans="1:9">
      <c r="A17" s="481"/>
      <c r="B17" s="481"/>
      <c r="C17" s="476"/>
      <c r="D17" s="476"/>
      <c r="E17" s="476"/>
      <c r="F17" s="482"/>
      <c r="G17" s="476"/>
      <c r="H17" s="476"/>
      <c r="I17" s="476"/>
    </row>
    <row r="18" spans="1:9">
      <c r="A18" s="481"/>
      <c r="B18" s="476"/>
      <c r="C18" s="476"/>
      <c r="D18" s="476"/>
      <c r="E18" s="476"/>
      <c r="F18" s="476"/>
      <c r="G18" s="476"/>
      <c r="H18" s="476"/>
      <c r="I18" s="476"/>
    </row>
    <row r="19" spans="1:9">
      <c r="A19" s="481"/>
      <c r="B19" s="481"/>
      <c r="C19" s="476"/>
      <c r="D19" s="476"/>
      <c r="E19" s="476"/>
      <c r="F19" s="481"/>
      <c r="G19" s="476"/>
      <c r="H19" s="476"/>
      <c r="I19" s="476"/>
    </row>
    <row r="20" spans="1:9">
      <c r="A20" s="481"/>
      <c r="B20" s="481"/>
      <c r="C20" s="476"/>
      <c r="D20" s="476"/>
      <c r="E20" s="476"/>
      <c r="F20" s="481"/>
      <c r="G20" s="476"/>
      <c r="H20" s="476"/>
      <c r="I20" s="476"/>
    </row>
    <row r="21" spans="1:9">
      <c r="A21" s="481"/>
      <c r="B21" s="481"/>
      <c r="C21" s="476"/>
      <c r="D21" s="476"/>
      <c r="E21" s="476"/>
      <c r="F21" s="481"/>
      <c r="G21" s="476"/>
      <c r="H21" s="476"/>
      <c r="I21" s="476"/>
    </row>
    <row r="22" spans="1:9">
      <c r="A22" s="481"/>
      <c r="B22" s="481"/>
      <c r="C22" s="476"/>
      <c r="D22" s="476"/>
      <c r="E22" s="476"/>
      <c r="F22" s="481"/>
      <c r="G22" s="476"/>
      <c r="H22" s="476"/>
      <c r="I22" s="476"/>
    </row>
    <row r="23" spans="1:9" ht="72" customHeight="1">
      <c r="A23" s="481"/>
      <c r="B23" s="481"/>
      <c r="C23" s="476"/>
      <c r="D23" s="476"/>
      <c r="E23" s="476"/>
      <c r="F23" s="481"/>
      <c r="G23" s="476"/>
      <c r="H23" s="476"/>
      <c r="I23" s="476"/>
    </row>
    <row r="24" spans="1:9" ht="18" customHeight="1">
      <c r="A24" s="481"/>
      <c r="B24" s="481"/>
      <c r="C24" s="476"/>
      <c r="D24" s="476"/>
      <c r="E24" s="476"/>
      <c r="F24" s="481"/>
      <c r="G24" s="476"/>
      <c r="H24" s="476"/>
      <c r="I24" s="476"/>
    </row>
    <row r="25" spans="1:9" ht="18" customHeight="1">
      <c r="A25" s="481"/>
      <c r="B25" s="481"/>
      <c r="C25" s="476"/>
      <c r="D25" s="476"/>
      <c r="E25" s="476"/>
      <c r="F25" s="481"/>
      <c r="G25" s="476"/>
      <c r="H25" s="476"/>
      <c r="I25" s="476"/>
    </row>
    <row r="26" spans="1:9" ht="18" customHeight="1">
      <c r="A26" s="481"/>
      <c r="B26" s="481"/>
      <c r="C26" s="476"/>
      <c r="D26" s="476"/>
      <c r="E26" s="476"/>
      <c r="F26" s="481"/>
      <c r="G26" s="476"/>
      <c r="H26" s="476"/>
      <c r="I26" s="476"/>
    </row>
    <row r="27" spans="1:9" ht="18" customHeight="1">
      <c r="A27" s="481"/>
      <c r="B27" s="481"/>
      <c r="C27" s="476"/>
      <c r="D27" s="476"/>
      <c r="E27" s="476"/>
      <c r="F27" s="481"/>
      <c r="G27" s="476"/>
      <c r="H27" s="476"/>
      <c r="I27" s="476"/>
    </row>
    <row r="28" spans="1:9" ht="18" customHeight="1">
      <c r="A28" s="476"/>
      <c r="B28" s="481"/>
      <c r="C28" s="476"/>
      <c r="D28" s="476"/>
      <c r="E28" s="476"/>
      <c r="F28" s="481"/>
      <c r="G28" s="476"/>
      <c r="H28" s="476"/>
      <c r="I28" s="476"/>
    </row>
    <row r="29" spans="1:9" ht="18" customHeight="1">
      <c r="A29" s="476"/>
      <c r="B29" s="476"/>
      <c r="C29" s="476"/>
      <c r="D29" s="476"/>
      <c r="E29" s="476"/>
      <c r="F29" s="476"/>
      <c r="G29" s="476"/>
      <c r="H29" s="476"/>
      <c r="I29" s="476"/>
    </row>
    <row r="30" spans="1:9" ht="18" customHeight="1">
      <c r="A30" s="476"/>
      <c r="B30" s="481"/>
      <c r="C30" s="476"/>
      <c r="D30" s="476"/>
      <c r="E30" s="476"/>
      <c r="F30" s="481"/>
      <c r="G30" s="476"/>
      <c r="H30" s="476"/>
      <c r="I30" s="476"/>
    </row>
    <row r="31" spans="1:9" ht="18" customHeight="1">
      <c r="A31" s="476"/>
      <c r="B31" s="481"/>
      <c r="C31" s="476"/>
      <c r="D31" s="476"/>
      <c r="E31" s="476"/>
      <c r="F31" s="481"/>
      <c r="G31" s="476"/>
      <c r="H31" s="476"/>
      <c r="I31" s="476"/>
    </row>
    <row r="32" spans="1:9" ht="18" customHeight="1">
      <c r="A32" s="476"/>
      <c r="B32" s="481"/>
      <c r="C32" s="476"/>
      <c r="D32" s="476"/>
      <c r="E32" s="476"/>
      <c r="F32" s="481"/>
      <c r="G32" s="476"/>
      <c r="H32" s="476"/>
      <c r="I32" s="476"/>
    </row>
    <row r="33" spans="1:9" ht="18" customHeight="1">
      <c r="A33" s="476"/>
      <c r="B33" s="481"/>
      <c r="C33" s="476"/>
      <c r="D33" s="476"/>
      <c r="E33" s="476"/>
      <c r="F33" s="481"/>
      <c r="G33" s="476"/>
      <c r="H33" s="476"/>
      <c r="I33" s="476"/>
    </row>
    <row r="34" spans="1:9">
      <c r="A34" s="476"/>
      <c r="B34" s="481"/>
      <c r="C34" s="476"/>
      <c r="D34" s="476"/>
      <c r="E34" s="476"/>
      <c r="F34" s="481"/>
      <c r="G34" s="476"/>
      <c r="H34" s="476"/>
      <c r="I34" s="476"/>
    </row>
    <row r="35" spans="1:9">
      <c r="A35" s="476"/>
      <c r="B35" s="481"/>
      <c r="C35" s="476"/>
      <c r="D35" s="476"/>
      <c r="E35" s="476"/>
      <c r="F35" s="481"/>
      <c r="G35" s="476"/>
      <c r="H35" s="476"/>
      <c r="I35" s="476"/>
    </row>
    <row r="36" spans="1:9">
      <c r="A36" s="476"/>
      <c r="B36" s="481"/>
      <c r="C36" s="476"/>
      <c r="D36" s="476"/>
      <c r="E36" s="476"/>
      <c r="F36" s="481"/>
      <c r="G36" s="476"/>
      <c r="H36" s="476"/>
      <c r="I36" s="476"/>
    </row>
    <row r="37" spans="1:9">
      <c r="A37" s="476"/>
      <c r="B37" s="481"/>
      <c r="C37" s="476"/>
      <c r="D37" s="476"/>
      <c r="E37" s="476"/>
      <c r="F37" s="481"/>
      <c r="G37" s="476"/>
      <c r="H37" s="476"/>
      <c r="I37" s="476"/>
    </row>
    <row r="38" spans="1:9">
      <c r="A38" s="476"/>
      <c r="B38" s="481"/>
      <c r="C38" s="476"/>
      <c r="D38" s="476"/>
      <c r="E38" s="476"/>
      <c r="F38" s="481"/>
      <c r="G38" s="476"/>
      <c r="H38" s="476"/>
      <c r="I38" s="476"/>
    </row>
    <row r="39" spans="1:9">
      <c r="A39" s="476"/>
      <c r="B39" s="481"/>
      <c r="C39" s="476"/>
      <c r="D39" s="476"/>
      <c r="E39" s="476"/>
      <c r="F39" s="481"/>
      <c r="G39" s="476"/>
      <c r="H39" s="476"/>
      <c r="I39" s="476"/>
    </row>
  </sheetData>
  <mergeCells count="67">
    <mergeCell ref="M1:W5"/>
    <mergeCell ref="N9:R9"/>
    <mergeCell ref="B11:I11"/>
    <mergeCell ref="B12:I12"/>
    <mergeCell ref="A1:J5"/>
    <mergeCell ref="B6:I6"/>
    <mergeCell ref="T8:V8"/>
    <mergeCell ref="T9:V9"/>
    <mergeCell ref="T10:V10"/>
    <mergeCell ref="N6:R6"/>
    <mergeCell ref="M8:M10"/>
    <mergeCell ref="N10:R10"/>
    <mergeCell ref="A9:A10"/>
    <mergeCell ref="A11:A12"/>
    <mergeCell ref="N12:R12"/>
    <mergeCell ref="A7:A8"/>
    <mergeCell ref="B7:I7"/>
    <mergeCell ref="B8:I8"/>
    <mergeCell ref="B9:I9"/>
    <mergeCell ref="B10:I10"/>
    <mergeCell ref="A13:A15"/>
    <mergeCell ref="B14:I14"/>
    <mergeCell ref="B15:I15"/>
    <mergeCell ref="T16:V16"/>
    <mergeCell ref="M11:M13"/>
    <mergeCell ref="M14:M15"/>
    <mergeCell ref="T11:V11"/>
    <mergeCell ref="T12:V12"/>
    <mergeCell ref="T13:V13"/>
    <mergeCell ref="T14:V14"/>
    <mergeCell ref="B16:I16"/>
    <mergeCell ref="N14:R14"/>
    <mergeCell ref="N15:R15"/>
    <mergeCell ref="B13:I13"/>
    <mergeCell ref="N16:R16"/>
    <mergeCell ref="T6:V6"/>
    <mergeCell ref="N7:R7"/>
    <mergeCell ref="N8:R8"/>
    <mergeCell ref="T7:V7"/>
    <mergeCell ref="Z8:AD8"/>
    <mergeCell ref="AG8:AI8"/>
    <mergeCell ref="T15:V15"/>
    <mergeCell ref="N11:R11"/>
    <mergeCell ref="N13:R13"/>
    <mergeCell ref="Y1:AI5"/>
    <mergeCell ref="Z6:AD6"/>
    <mergeCell ref="AG6:AI6"/>
    <mergeCell ref="Z7:AD7"/>
    <mergeCell ref="AG7:AI7"/>
    <mergeCell ref="Y12:Y14"/>
    <mergeCell ref="Y9:Y11"/>
    <mergeCell ref="Z11:AD11"/>
    <mergeCell ref="AG11:AI11"/>
    <mergeCell ref="AG10:AI10"/>
    <mergeCell ref="Z12:AD12"/>
    <mergeCell ref="AG12:AI12"/>
    <mergeCell ref="Z9:AD9"/>
    <mergeCell ref="AG9:AI9"/>
    <mergeCell ref="Z10:AD10"/>
    <mergeCell ref="Z16:AD16"/>
    <mergeCell ref="AG16:AI16"/>
    <mergeCell ref="Z13:AD13"/>
    <mergeCell ref="AG13:AI13"/>
    <mergeCell ref="Z15:AD15"/>
    <mergeCell ref="AG15:AI15"/>
    <mergeCell ref="Z14:AD14"/>
    <mergeCell ref="AG14:AI14"/>
  </mergeCells>
  <phoneticPr fontId="26" type="noConversion"/>
  <printOptions horizontalCentered="1" verticalCentered="1"/>
  <pageMargins left="0.25" right="0.25" top="0.41" bottom="0.8125" header="0.17" footer="0.16"/>
  <pageSetup scale="38" fitToHeight="27" orientation="landscape" r:id="rId1"/>
  <headerFooter alignWithMargins="0">
    <oddFooter xml:space="preserve">&amp;L&amp;6&amp;Z&amp;F&amp;CQAI_6012 AAR Mobility PPAP Workbook
</oddFooter>
  </headerFooter>
  <colBreaks count="2" manualBreakCount="2">
    <brk id="11" max="1048575" man="1"/>
    <brk id="23" max="20"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07" r:id="rId4" name="Button 7">
              <controlPr defaultSize="0" print="0" autoFill="0" autoPict="0" macro="[0]!Back">
                <anchor moveWithCells="1" sizeWithCells="1">
                  <from>
                    <xdr:col>15</xdr:col>
                    <xdr:colOff>266700</xdr:colOff>
                    <xdr:row>1</xdr:row>
                    <xdr:rowOff>0</xdr:rowOff>
                  </from>
                  <to>
                    <xdr:col>17</xdr:col>
                    <xdr:colOff>466725</xdr:colOff>
                    <xdr:row>2</xdr:row>
                    <xdr:rowOff>133350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3"/>
    <pageSetUpPr fitToPage="1"/>
  </sheetPr>
  <dimension ref="A1:AG16"/>
  <sheetViews>
    <sheetView zoomScale="85" zoomScaleNormal="85" workbookViewId="0">
      <selection activeCell="O21" sqref="O21"/>
    </sheetView>
  </sheetViews>
  <sheetFormatPr defaultColWidth="9.140625" defaultRowHeight="12.75"/>
  <cols>
    <col min="1" max="1" width="20.42578125" style="1" customWidth="1"/>
    <col min="2" max="9" width="9.140625" style="1"/>
    <col min="10" max="10" width="10.42578125" style="1" customWidth="1"/>
    <col min="11" max="11" width="23.85546875" style="1" customWidth="1"/>
    <col min="12" max="12" width="52.140625" style="1" customWidth="1"/>
    <col min="13" max="13" width="7.85546875" style="1" customWidth="1"/>
    <col min="14" max="14" width="15.7109375" style="1" customWidth="1"/>
    <col min="15" max="18" width="9.140625" style="1"/>
    <col min="19" max="19" width="15.140625" style="1" customWidth="1"/>
    <col min="20" max="20" width="1.5703125" style="1" customWidth="1"/>
    <col min="21" max="21" width="7.85546875" style="1" customWidth="1"/>
    <col min="22" max="22" width="9.140625" style="1"/>
    <col min="23" max="23" width="21.140625" style="1" customWidth="1"/>
    <col min="24" max="27" width="9.140625" style="1"/>
    <col min="28" max="28" width="21.42578125" style="1" customWidth="1"/>
    <col min="29" max="29" width="1.42578125" style="1" customWidth="1"/>
    <col min="30" max="32" width="9.140625" style="1"/>
    <col min="33" max="33" width="0.140625" style="1" customWidth="1"/>
    <col min="34" max="16384" width="9.140625" style="1"/>
  </cols>
  <sheetData>
    <row r="1" spans="1:33">
      <c r="A1" s="994"/>
      <c r="B1" s="994"/>
      <c r="C1" s="994"/>
      <c r="D1" s="994"/>
      <c r="E1" s="994"/>
      <c r="F1" s="994"/>
      <c r="G1" s="994"/>
      <c r="H1" s="994"/>
      <c r="I1" s="994"/>
      <c r="J1" s="994"/>
      <c r="K1" s="994"/>
      <c r="L1" s="994"/>
      <c r="M1" s="475"/>
      <c r="N1" s="994"/>
      <c r="O1" s="994"/>
      <c r="P1" s="994"/>
      <c r="Q1" s="994"/>
      <c r="R1" s="994"/>
      <c r="S1" s="994"/>
      <c r="T1" s="994"/>
      <c r="U1" s="994"/>
      <c r="W1" s="994"/>
      <c r="X1" s="994"/>
      <c r="Y1" s="994"/>
      <c r="Z1" s="994"/>
      <c r="AA1" s="994"/>
      <c r="AB1" s="994"/>
      <c r="AC1" s="994"/>
      <c r="AD1" s="994"/>
      <c r="AE1" s="994"/>
      <c r="AF1" s="994"/>
      <c r="AG1" s="994"/>
    </row>
    <row r="2" spans="1:33">
      <c r="A2" s="994"/>
      <c r="B2" s="994"/>
      <c r="C2" s="994"/>
      <c r="D2" s="994"/>
      <c r="E2" s="994"/>
      <c r="F2" s="994"/>
      <c r="G2" s="994"/>
      <c r="H2" s="994"/>
      <c r="I2" s="994"/>
      <c r="J2" s="994"/>
      <c r="K2" s="994"/>
      <c r="L2" s="994"/>
      <c r="M2" s="475"/>
      <c r="N2" s="994"/>
      <c r="O2" s="994"/>
      <c r="P2" s="994"/>
      <c r="Q2" s="994"/>
      <c r="R2" s="994"/>
      <c r="S2" s="994"/>
      <c r="T2" s="994"/>
      <c r="U2" s="994"/>
      <c r="W2" s="994"/>
      <c r="X2" s="994"/>
      <c r="Y2" s="994"/>
      <c r="Z2" s="994"/>
      <c r="AA2" s="994"/>
      <c r="AB2" s="994"/>
      <c r="AC2" s="994"/>
      <c r="AD2" s="994"/>
      <c r="AE2" s="994"/>
      <c r="AF2" s="994"/>
      <c r="AG2" s="994"/>
    </row>
    <row r="3" spans="1:33">
      <c r="A3" s="994"/>
      <c r="B3" s="994"/>
      <c r="C3" s="994"/>
      <c r="D3" s="994"/>
      <c r="E3" s="994"/>
      <c r="F3" s="994"/>
      <c r="G3" s="994"/>
      <c r="H3" s="994"/>
      <c r="I3" s="994"/>
      <c r="J3" s="994"/>
      <c r="K3" s="994"/>
      <c r="L3" s="994"/>
      <c r="M3" s="475"/>
      <c r="N3" s="994"/>
      <c r="O3" s="994"/>
      <c r="P3" s="994"/>
      <c r="Q3" s="994"/>
      <c r="R3" s="994"/>
      <c r="S3" s="994"/>
      <c r="T3" s="994"/>
      <c r="U3" s="994"/>
      <c r="W3" s="994"/>
      <c r="X3" s="994"/>
      <c r="Y3" s="994"/>
      <c r="Z3" s="994"/>
      <c r="AA3" s="994"/>
      <c r="AB3" s="994"/>
      <c r="AC3" s="994"/>
      <c r="AD3" s="994"/>
      <c r="AE3" s="994"/>
      <c r="AF3" s="994"/>
      <c r="AG3" s="994"/>
    </row>
    <row r="4" spans="1:33">
      <c r="A4" s="994"/>
      <c r="B4" s="994"/>
      <c r="C4" s="994"/>
      <c r="D4" s="994"/>
      <c r="E4" s="994"/>
      <c r="F4" s="994"/>
      <c r="G4" s="994"/>
      <c r="H4" s="994"/>
      <c r="I4" s="994"/>
      <c r="J4" s="994"/>
      <c r="K4" s="994"/>
      <c r="L4" s="994"/>
      <c r="M4" s="475"/>
      <c r="N4" s="994"/>
      <c r="O4" s="994"/>
      <c r="P4" s="994"/>
      <c r="Q4" s="994"/>
      <c r="R4" s="994"/>
      <c r="S4" s="994"/>
      <c r="T4" s="994"/>
      <c r="U4" s="994"/>
      <c r="W4" s="994"/>
      <c r="X4" s="994"/>
      <c r="Y4" s="994"/>
      <c r="Z4" s="994"/>
      <c r="AA4" s="994"/>
      <c r="AB4" s="994"/>
      <c r="AC4" s="994"/>
      <c r="AD4" s="994"/>
      <c r="AE4" s="994"/>
      <c r="AF4" s="994"/>
      <c r="AG4" s="994"/>
    </row>
    <row r="5" spans="1:33">
      <c r="A5" s="995"/>
      <c r="B5" s="995"/>
      <c r="C5" s="995"/>
      <c r="D5" s="995"/>
      <c r="E5" s="995"/>
      <c r="F5" s="995"/>
      <c r="G5" s="995"/>
      <c r="H5" s="995"/>
      <c r="I5" s="995"/>
      <c r="J5" s="994"/>
      <c r="K5" s="994"/>
      <c r="L5" s="994"/>
      <c r="M5" s="475"/>
      <c r="N5" s="995"/>
      <c r="O5" s="995"/>
      <c r="P5" s="995"/>
      <c r="Q5" s="995"/>
      <c r="R5" s="995"/>
      <c r="S5" s="995"/>
      <c r="T5" s="995"/>
      <c r="U5" s="994"/>
      <c r="W5" s="995"/>
      <c r="X5" s="995"/>
      <c r="Y5" s="995"/>
      <c r="Z5" s="995"/>
      <c r="AA5" s="995"/>
      <c r="AB5" s="995"/>
      <c r="AC5" s="995"/>
      <c r="AD5" s="995"/>
      <c r="AE5" s="995"/>
      <c r="AF5" s="995"/>
      <c r="AG5" s="994"/>
    </row>
    <row r="6" spans="1:33" ht="78" customHeight="1">
      <c r="A6" s="90" t="s">
        <v>182</v>
      </c>
      <c r="B6" s="1003" t="s">
        <v>183</v>
      </c>
      <c r="C6" s="1004"/>
      <c r="D6" s="1004"/>
      <c r="E6" s="1004"/>
      <c r="F6" s="1004"/>
      <c r="G6" s="1004"/>
      <c r="H6" s="1004"/>
      <c r="I6" s="1004"/>
      <c r="J6" s="91" t="s">
        <v>184</v>
      </c>
      <c r="K6" s="91" t="s">
        <v>182</v>
      </c>
      <c r="L6" s="91" t="s">
        <v>185</v>
      </c>
      <c r="M6" s="484"/>
      <c r="N6" s="96" t="s">
        <v>215</v>
      </c>
      <c r="O6" s="1000" t="s">
        <v>216</v>
      </c>
      <c r="P6" s="1000"/>
      <c r="Q6" s="1000"/>
      <c r="R6" s="1000"/>
      <c r="S6" s="1000"/>
      <c r="T6" s="97"/>
      <c r="U6" s="96" t="s">
        <v>184</v>
      </c>
      <c r="W6" s="99" t="s">
        <v>232</v>
      </c>
      <c r="X6" s="996" t="s">
        <v>233</v>
      </c>
      <c r="Y6" s="996"/>
      <c r="Z6" s="996"/>
      <c r="AA6" s="996"/>
      <c r="AB6" s="996"/>
      <c r="AC6" s="100"/>
      <c r="AD6" s="99" t="s">
        <v>184</v>
      </c>
      <c r="AE6" s="996" t="s">
        <v>234</v>
      </c>
      <c r="AF6" s="997"/>
      <c r="AG6" s="997"/>
    </row>
    <row r="7" spans="1:33" ht="50.25" customHeight="1">
      <c r="A7" s="1009" t="s">
        <v>186</v>
      </c>
      <c r="B7" s="1005" t="s">
        <v>187</v>
      </c>
      <c r="C7" s="1005"/>
      <c r="D7" s="1005"/>
      <c r="E7" s="1005"/>
      <c r="F7" s="1005"/>
      <c r="G7" s="1005"/>
      <c r="H7" s="1005"/>
      <c r="I7" s="1005"/>
      <c r="J7" s="93">
        <v>10</v>
      </c>
      <c r="K7" s="1009" t="s">
        <v>188</v>
      </c>
      <c r="L7" s="94" t="s">
        <v>189</v>
      </c>
      <c r="M7" s="484"/>
      <c r="N7" s="93" t="s">
        <v>217</v>
      </c>
      <c r="O7" s="1008" t="s">
        <v>218</v>
      </c>
      <c r="P7" s="1008"/>
      <c r="Q7" s="1008"/>
      <c r="R7" s="1008"/>
      <c r="S7" s="1008"/>
      <c r="T7" s="98"/>
      <c r="U7" s="93">
        <v>10</v>
      </c>
      <c r="W7" s="94" t="s">
        <v>235</v>
      </c>
      <c r="X7" s="1008" t="s">
        <v>236</v>
      </c>
      <c r="Y7" s="1008"/>
      <c r="Z7" s="1008"/>
      <c r="AA7" s="1008"/>
      <c r="AB7" s="1008"/>
      <c r="AC7" s="98"/>
      <c r="AD7" s="92">
        <v>10</v>
      </c>
      <c r="AE7" s="1009" t="s">
        <v>237</v>
      </c>
      <c r="AF7" s="1009"/>
      <c r="AG7" s="1009"/>
    </row>
    <row r="8" spans="1:33" ht="68.25" customHeight="1">
      <c r="A8" s="1009"/>
      <c r="B8" s="1005" t="s">
        <v>190</v>
      </c>
      <c r="C8" s="1005"/>
      <c r="D8" s="1005"/>
      <c r="E8" s="1005"/>
      <c r="F8" s="1005"/>
      <c r="G8" s="1005"/>
      <c r="H8" s="1005"/>
      <c r="I8" s="1005"/>
      <c r="J8" s="93">
        <v>9</v>
      </c>
      <c r="K8" s="1009"/>
      <c r="L8" s="94" t="s">
        <v>191</v>
      </c>
      <c r="M8" s="484"/>
      <c r="N8" s="1010" t="s">
        <v>219</v>
      </c>
      <c r="O8" s="1008" t="s">
        <v>220</v>
      </c>
      <c r="P8" s="1008"/>
      <c r="Q8" s="1008"/>
      <c r="R8" s="1008"/>
      <c r="S8" s="1008"/>
      <c r="T8" s="98"/>
      <c r="U8" s="93">
        <v>9</v>
      </c>
      <c r="W8" s="94" t="s">
        <v>238</v>
      </c>
      <c r="X8" s="1008" t="s">
        <v>239</v>
      </c>
      <c r="Y8" s="1008"/>
      <c r="Z8" s="1008"/>
      <c r="AA8" s="1008"/>
      <c r="AB8" s="1008"/>
      <c r="AC8" s="98"/>
      <c r="AD8" s="92">
        <v>9</v>
      </c>
      <c r="AE8" s="1009" t="s">
        <v>240</v>
      </c>
      <c r="AF8" s="1009"/>
      <c r="AG8" s="1009"/>
    </row>
    <row r="9" spans="1:33" ht="69.75" customHeight="1">
      <c r="A9" s="1006" t="s">
        <v>192</v>
      </c>
      <c r="B9" s="1005" t="s">
        <v>193</v>
      </c>
      <c r="C9" s="1005"/>
      <c r="D9" s="1005"/>
      <c r="E9" s="1005"/>
      <c r="F9" s="1005"/>
      <c r="G9" s="1005"/>
      <c r="H9" s="1005"/>
      <c r="I9" s="1005"/>
      <c r="J9" s="93">
        <v>8</v>
      </c>
      <c r="K9" s="92" t="s">
        <v>194</v>
      </c>
      <c r="L9" s="94" t="s">
        <v>195</v>
      </c>
      <c r="M9" s="484"/>
      <c r="N9" s="1010"/>
      <c r="O9" s="1008" t="s">
        <v>221</v>
      </c>
      <c r="P9" s="1008"/>
      <c r="Q9" s="1008"/>
      <c r="R9" s="1008"/>
      <c r="S9" s="1008"/>
      <c r="T9" s="98"/>
      <c r="U9" s="93">
        <v>8</v>
      </c>
      <c r="W9" s="94" t="s">
        <v>241</v>
      </c>
      <c r="X9" s="1008" t="s">
        <v>242</v>
      </c>
      <c r="Y9" s="1008"/>
      <c r="Z9" s="1008"/>
      <c r="AA9" s="1008"/>
      <c r="AB9" s="1008"/>
      <c r="AC9" s="98"/>
      <c r="AD9" s="92">
        <v>8</v>
      </c>
      <c r="AE9" s="1009" t="s">
        <v>243</v>
      </c>
      <c r="AF9" s="1009"/>
      <c r="AG9" s="1009"/>
    </row>
    <row r="10" spans="1:33" ht="62.25" customHeight="1">
      <c r="A10" s="1006"/>
      <c r="B10" s="1005" t="s">
        <v>196</v>
      </c>
      <c r="C10" s="1005"/>
      <c r="D10" s="1005"/>
      <c r="E10" s="1005"/>
      <c r="F10" s="1005"/>
      <c r="G10" s="1005"/>
      <c r="H10" s="1005"/>
      <c r="I10" s="1005"/>
      <c r="J10" s="93">
        <v>7</v>
      </c>
      <c r="K10" s="92" t="s">
        <v>197</v>
      </c>
      <c r="L10" s="94" t="s">
        <v>198</v>
      </c>
      <c r="M10" s="484"/>
      <c r="N10" s="1010"/>
      <c r="O10" s="1008" t="s">
        <v>222</v>
      </c>
      <c r="P10" s="1008"/>
      <c r="Q10" s="1008"/>
      <c r="R10" s="1008"/>
      <c r="S10" s="1008"/>
      <c r="T10" s="98"/>
      <c r="U10" s="93">
        <v>7</v>
      </c>
      <c r="W10" s="94" t="s">
        <v>244</v>
      </c>
      <c r="X10" s="1008" t="s">
        <v>245</v>
      </c>
      <c r="Y10" s="1008"/>
      <c r="Z10" s="1008"/>
      <c r="AA10" s="1008"/>
      <c r="AB10" s="1008"/>
      <c r="AC10" s="98"/>
      <c r="AD10" s="92">
        <v>7</v>
      </c>
      <c r="AE10" s="1009" t="s">
        <v>230</v>
      </c>
      <c r="AF10" s="1009"/>
      <c r="AG10" s="1009"/>
    </row>
    <row r="11" spans="1:33" ht="63.75" customHeight="1">
      <c r="A11" s="1006" t="s">
        <v>199</v>
      </c>
      <c r="B11" s="1005" t="s">
        <v>200</v>
      </c>
      <c r="C11" s="1005"/>
      <c r="D11" s="1005"/>
      <c r="E11" s="1005"/>
      <c r="F11" s="1005"/>
      <c r="G11" s="1005"/>
      <c r="H11" s="1005"/>
      <c r="I11" s="1005"/>
      <c r="J11" s="93">
        <v>6</v>
      </c>
      <c r="K11" s="1009" t="s">
        <v>201</v>
      </c>
      <c r="L11" s="94" t="s">
        <v>202</v>
      </c>
      <c r="M11" s="484"/>
      <c r="N11" s="1010" t="s">
        <v>223</v>
      </c>
      <c r="O11" s="1008" t="s">
        <v>224</v>
      </c>
      <c r="P11" s="1008"/>
      <c r="Q11" s="1008"/>
      <c r="R11" s="1008"/>
      <c r="S11" s="1008"/>
      <c r="T11" s="98"/>
      <c r="U11" s="93">
        <v>6</v>
      </c>
      <c r="W11" s="94" t="s">
        <v>241</v>
      </c>
      <c r="X11" s="1008" t="s">
        <v>246</v>
      </c>
      <c r="Y11" s="1008"/>
      <c r="Z11" s="1008"/>
      <c r="AA11" s="1008"/>
      <c r="AB11" s="1008"/>
      <c r="AC11" s="98"/>
      <c r="AD11" s="92">
        <v>6</v>
      </c>
      <c r="AE11" s="1009" t="s">
        <v>227</v>
      </c>
      <c r="AF11" s="1009"/>
      <c r="AG11" s="1009"/>
    </row>
    <row r="12" spans="1:33" ht="90.75" customHeight="1">
      <c r="A12" s="1006"/>
      <c r="B12" s="1005" t="s">
        <v>203</v>
      </c>
      <c r="C12" s="1005"/>
      <c r="D12" s="1005"/>
      <c r="E12" s="1005"/>
      <c r="F12" s="1005"/>
      <c r="G12" s="1005"/>
      <c r="H12" s="1005"/>
      <c r="I12" s="1005"/>
      <c r="J12" s="93">
        <v>5</v>
      </c>
      <c r="K12" s="1009"/>
      <c r="L12" s="94" t="s">
        <v>204</v>
      </c>
      <c r="M12" s="484"/>
      <c r="N12" s="1010"/>
      <c r="O12" s="1008" t="s">
        <v>225</v>
      </c>
      <c r="P12" s="1008"/>
      <c r="Q12" s="1008"/>
      <c r="R12" s="1008"/>
      <c r="S12" s="1008"/>
      <c r="T12" s="98"/>
      <c r="U12" s="93">
        <v>5</v>
      </c>
      <c r="W12" s="94" t="s">
        <v>244</v>
      </c>
      <c r="X12" s="1008" t="s">
        <v>247</v>
      </c>
      <c r="Y12" s="1008"/>
      <c r="Z12" s="1008"/>
      <c r="AA12" s="1008"/>
      <c r="AB12" s="1008"/>
      <c r="AC12" s="98"/>
      <c r="AD12" s="92">
        <v>5</v>
      </c>
      <c r="AE12" s="1009" t="s">
        <v>223</v>
      </c>
      <c r="AF12" s="1009"/>
      <c r="AG12" s="1009"/>
    </row>
    <row r="13" spans="1:33" ht="57.75" customHeight="1">
      <c r="A13" s="1006" t="s">
        <v>205</v>
      </c>
      <c r="B13" s="1005" t="s">
        <v>206</v>
      </c>
      <c r="C13" s="1005"/>
      <c r="D13" s="1005"/>
      <c r="E13" s="1005"/>
      <c r="F13" s="1005"/>
      <c r="G13" s="1005"/>
      <c r="H13" s="1005"/>
      <c r="I13" s="1005"/>
      <c r="J13" s="93">
        <v>4</v>
      </c>
      <c r="K13" s="1009" t="s">
        <v>201</v>
      </c>
      <c r="L13" s="94" t="s">
        <v>207</v>
      </c>
      <c r="M13" s="484"/>
      <c r="N13" s="1010"/>
      <c r="O13" s="1008" t="s">
        <v>226</v>
      </c>
      <c r="P13" s="1008"/>
      <c r="Q13" s="1008"/>
      <c r="R13" s="1008"/>
      <c r="S13" s="1008"/>
      <c r="T13" s="98"/>
      <c r="U13" s="93">
        <v>4</v>
      </c>
      <c r="W13" s="94" t="s">
        <v>241</v>
      </c>
      <c r="X13" s="1008" t="s">
        <v>248</v>
      </c>
      <c r="Y13" s="1008"/>
      <c r="Z13" s="1008"/>
      <c r="AA13" s="1008"/>
      <c r="AB13" s="1008"/>
      <c r="AC13" s="98"/>
      <c r="AD13" s="92">
        <v>4</v>
      </c>
      <c r="AE13" s="1009" t="s">
        <v>249</v>
      </c>
      <c r="AF13" s="1009"/>
      <c r="AG13" s="1009"/>
    </row>
    <row r="14" spans="1:33" ht="64.5" customHeight="1">
      <c r="A14" s="1006"/>
      <c r="B14" s="1005" t="s">
        <v>208</v>
      </c>
      <c r="C14" s="1005"/>
      <c r="D14" s="1005"/>
      <c r="E14" s="1005"/>
      <c r="F14" s="1005"/>
      <c r="G14" s="1005"/>
      <c r="H14" s="1005"/>
      <c r="I14" s="1005"/>
      <c r="J14" s="93">
        <v>3</v>
      </c>
      <c r="K14" s="1009"/>
      <c r="L14" s="94" t="s">
        <v>209</v>
      </c>
      <c r="M14" s="484"/>
      <c r="N14" s="1010" t="s">
        <v>227</v>
      </c>
      <c r="O14" s="1008" t="s">
        <v>228</v>
      </c>
      <c r="P14" s="1008"/>
      <c r="Q14" s="1008"/>
      <c r="R14" s="1008"/>
      <c r="S14" s="1008"/>
      <c r="T14" s="98"/>
      <c r="U14" s="93">
        <v>3</v>
      </c>
      <c r="W14" s="94" t="s">
        <v>244</v>
      </c>
      <c r="X14" s="1008" t="s">
        <v>250</v>
      </c>
      <c r="Y14" s="1008"/>
      <c r="Z14" s="1008"/>
      <c r="AA14" s="1008"/>
      <c r="AB14" s="1008"/>
      <c r="AC14" s="98"/>
      <c r="AD14" s="92">
        <v>3</v>
      </c>
      <c r="AE14" s="1009" t="s">
        <v>219</v>
      </c>
      <c r="AF14" s="1009"/>
      <c r="AG14" s="1009"/>
    </row>
    <row r="15" spans="1:33" ht="66" customHeight="1">
      <c r="A15" s="1007"/>
      <c r="B15" s="1005" t="s">
        <v>210</v>
      </c>
      <c r="C15" s="1005"/>
      <c r="D15" s="1005"/>
      <c r="E15" s="1005"/>
      <c r="F15" s="1005"/>
      <c r="G15" s="1005"/>
      <c r="H15" s="1005"/>
      <c r="I15" s="1005"/>
      <c r="J15" s="93">
        <v>2</v>
      </c>
      <c r="K15" s="92" t="s">
        <v>211</v>
      </c>
      <c r="L15" s="94" t="s">
        <v>212</v>
      </c>
      <c r="M15" s="484"/>
      <c r="N15" s="1010"/>
      <c r="O15" s="1008" t="s">
        <v>229</v>
      </c>
      <c r="P15" s="1008"/>
      <c r="Q15" s="1008"/>
      <c r="R15" s="1008"/>
      <c r="S15" s="1008"/>
      <c r="T15" s="98"/>
      <c r="U15" s="93">
        <v>2</v>
      </c>
      <c r="W15" s="94" t="s">
        <v>251</v>
      </c>
      <c r="X15" s="1008" t="s">
        <v>252</v>
      </c>
      <c r="Y15" s="1008"/>
      <c r="Z15" s="1008"/>
      <c r="AA15" s="1008"/>
      <c r="AB15" s="1008"/>
      <c r="AC15" s="98"/>
      <c r="AD15" s="92">
        <v>2</v>
      </c>
      <c r="AE15" s="1009" t="s">
        <v>217</v>
      </c>
      <c r="AF15" s="1009"/>
      <c r="AG15" s="1009"/>
    </row>
    <row r="16" spans="1:33" ht="68.25" customHeight="1">
      <c r="A16" s="95" t="s">
        <v>213</v>
      </c>
      <c r="B16" s="1005" t="s">
        <v>214</v>
      </c>
      <c r="C16" s="1005"/>
      <c r="D16" s="1005"/>
      <c r="E16" s="1005"/>
      <c r="F16" s="1005"/>
      <c r="G16" s="1005"/>
      <c r="H16" s="1005"/>
      <c r="I16" s="1005"/>
      <c r="J16" s="93">
        <v>1</v>
      </c>
      <c r="K16" s="92" t="s">
        <v>213</v>
      </c>
      <c r="L16" s="94" t="s">
        <v>118</v>
      </c>
      <c r="M16" s="484"/>
      <c r="N16" s="93" t="s">
        <v>230</v>
      </c>
      <c r="O16" s="1008" t="s">
        <v>231</v>
      </c>
      <c r="P16" s="1008"/>
      <c r="Q16" s="1008"/>
      <c r="R16" s="1008"/>
      <c r="S16" s="1008"/>
      <c r="T16" s="98"/>
      <c r="U16" s="93">
        <v>1</v>
      </c>
      <c r="W16" s="94" t="s">
        <v>253</v>
      </c>
      <c r="X16" s="1008" t="s">
        <v>254</v>
      </c>
      <c r="Y16" s="1008"/>
      <c r="Z16" s="1008"/>
      <c r="AA16" s="1008"/>
      <c r="AB16" s="1008"/>
      <c r="AC16" s="98"/>
      <c r="AD16" s="92">
        <v>1</v>
      </c>
      <c r="AE16" s="1009" t="s">
        <v>255</v>
      </c>
      <c r="AF16" s="1009"/>
      <c r="AG16" s="1009"/>
    </row>
  </sheetData>
  <mergeCells count="57">
    <mergeCell ref="X14:AB14"/>
    <mergeCell ref="AE14:AG14"/>
    <mergeCell ref="K11:K12"/>
    <mergeCell ref="K13:K14"/>
    <mergeCell ref="X15:AB15"/>
    <mergeCell ref="AE15:AG15"/>
    <mergeCell ref="N14:N15"/>
    <mergeCell ref="O14:S14"/>
    <mergeCell ref="O15:S15"/>
    <mergeCell ref="N11:N13"/>
    <mergeCell ref="O11:S11"/>
    <mergeCell ref="O12:S12"/>
    <mergeCell ref="O16:S16"/>
    <mergeCell ref="W1:AG5"/>
    <mergeCell ref="X6:AB6"/>
    <mergeCell ref="AE6:AG6"/>
    <mergeCell ref="X7:AB7"/>
    <mergeCell ref="AE7:AG7"/>
    <mergeCell ref="X8:AB8"/>
    <mergeCell ref="AE8:AG8"/>
    <mergeCell ref="X13:AB13"/>
    <mergeCell ref="AE13:AG13"/>
    <mergeCell ref="X16:AB16"/>
    <mergeCell ref="AE16:AG16"/>
    <mergeCell ref="X11:AB11"/>
    <mergeCell ref="AE11:AG11"/>
    <mergeCell ref="X12:AB12"/>
    <mergeCell ref="AE12:AG12"/>
    <mergeCell ref="X9:AB9"/>
    <mergeCell ref="AE9:AG9"/>
    <mergeCell ref="X10:AB10"/>
    <mergeCell ref="AE10:AG10"/>
    <mergeCell ref="O13:S13"/>
    <mergeCell ref="O9:S9"/>
    <mergeCell ref="O10:S10"/>
    <mergeCell ref="N1:U5"/>
    <mergeCell ref="O6:S6"/>
    <mergeCell ref="O7:S7"/>
    <mergeCell ref="A11:A12"/>
    <mergeCell ref="B11:I11"/>
    <mergeCell ref="B12:I12"/>
    <mergeCell ref="A1:L5"/>
    <mergeCell ref="K7:K8"/>
    <mergeCell ref="A9:A10"/>
    <mergeCell ref="B9:I9"/>
    <mergeCell ref="N8:N10"/>
    <mergeCell ref="O8:S8"/>
    <mergeCell ref="B6:I6"/>
    <mergeCell ref="A7:A8"/>
    <mergeCell ref="B7:I7"/>
    <mergeCell ref="B8:I8"/>
    <mergeCell ref="B10:I10"/>
    <mergeCell ref="B16:I16"/>
    <mergeCell ref="A13:A15"/>
    <mergeCell ref="B13:I13"/>
    <mergeCell ref="B14:I14"/>
    <mergeCell ref="B15:I15"/>
  </mergeCells>
  <phoneticPr fontId="26" type="noConversion"/>
  <printOptions horizontalCentered="1" verticalCentered="1"/>
  <pageMargins left="0.25" right="0.25" top="0.41" bottom="0.8125" header="0.17" footer="0.16"/>
  <pageSetup scale="35" fitToHeight="27" orientation="landscape" r:id="rId1"/>
  <headerFooter alignWithMargins="0">
    <oddFooter xml:space="preserve">&amp;L&amp;6&amp;Z&amp;F&amp;CQAI_6012 AAR Mobility PPAP Workbook
</oddFooter>
  </headerFooter>
  <colBreaks count="2" manualBreakCount="2">
    <brk id="12" max="1048575" man="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431" r:id="rId4" name="Button 7">
              <controlPr defaultSize="0" print="0" autoFill="0" autoPict="0" macro="[0]!Back">
                <anchor moveWithCells="1" sizeWithCells="1">
                  <from>
                    <xdr:col>15</xdr:col>
                    <xdr:colOff>457200</xdr:colOff>
                    <xdr:row>1</xdr:row>
                    <xdr:rowOff>19050</xdr:rowOff>
                  </from>
                  <to>
                    <xdr:col>18</xdr:col>
                    <xdr:colOff>47625</xdr:colOff>
                    <xdr:row>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pageSetUpPr fitToPage="1"/>
  </sheetPr>
  <dimension ref="B1:E62"/>
  <sheetViews>
    <sheetView topLeftCell="A7" zoomScaleNormal="100" workbookViewId="0">
      <selection activeCell="B53" sqref="B53:C53"/>
    </sheetView>
  </sheetViews>
  <sheetFormatPr defaultColWidth="9.140625" defaultRowHeight="12.75"/>
  <cols>
    <col min="1" max="1" width="3.28515625" style="1" customWidth="1"/>
    <col min="2" max="2" width="9.140625" style="1"/>
    <col min="3" max="3" width="50.140625" style="1" customWidth="1"/>
    <col min="4" max="4" width="45.5703125" style="1" customWidth="1"/>
    <col min="5" max="16384" width="9.140625" style="1"/>
  </cols>
  <sheetData>
    <row r="1" spans="2:5" ht="27" customHeight="1">
      <c r="B1" s="657" t="s">
        <v>787</v>
      </c>
      <c r="C1" s="658"/>
      <c r="D1" s="658"/>
      <c r="E1" s="659"/>
    </row>
    <row r="2" spans="2:5" ht="45.75" customHeight="1" thickBot="1">
      <c r="B2" s="660"/>
      <c r="C2" s="661"/>
      <c r="D2" s="661"/>
      <c r="E2" s="662"/>
    </row>
    <row r="3" spans="2:5" ht="37.5" customHeight="1">
      <c r="B3" s="663" t="s">
        <v>864</v>
      </c>
      <c r="C3" s="664"/>
      <c r="D3" s="664"/>
      <c r="E3" s="665"/>
    </row>
    <row r="4" spans="2:5">
      <c r="B4" s="71"/>
      <c r="C4" s="67"/>
      <c r="D4" s="67"/>
      <c r="E4" s="55"/>
    </row>
    <row r="5" spans="2:5" ht="12.75" customHeight="1">
      <c r="B5" s="654" t="s">
        <v>5</v>
      </c>
      <c r="C5" s="655"/>
      <c r="D5" s="655"/>
      <c r="E5" s="656"/>
    </row>
    <row r="6" spans="2:5">
      <c r="B6" s="654"/>
      <c r="C6" s="655"/>
      <c r="D6" s="655"/>
      <c r="E6" s="656"/>
    </row>
    <row r="7" spans="2:5" ht="6.75" customHeight="1">
      <c r="B7" s="68"/>
      <c r="C7" s="69"/>
      <c r="D7" s="69"/>
      <c r="E7" s="70"/>
    </row>
    <row r="8" spans="2:5">
      <c r="B8" s="643" t="s">
        <v>865</v>
      </c>
      <c r="C8" s="644"/>
      <c r="D8" s="644"/>
      <c r="E8" s="645"/>
    </row>
    <row r="9" spans="2:5" ht="5.25" customHeight="1">
      <c r="B9" s="68"/>
      <c r="C9" s="69"/>
      <c r="D9" s="69"/>
      <c r="E9" s="70"/>
    </row>
    <row r="10" spans="2:5">
      <c r="B10" s="654" t="s">
        <v>785</v>
      </c>
      <c r="C10" s="655"/>
      <c r="D10" s="655"/>
      <c r="E10" s="656"/>
    </row>
    <row r="11" spans="2:5" ht="6.75" customHeight="1">
      <c r="B11" s="68"/>
      <c r="C11" s="69"/>
      <c r="D11" s="69"/>
      <c r="E11" s="70"/>
    </row>
    <row r="12" spans="2:5" s="34" customFormat="1">
      <c r="B12" s="643" t="s">
        <v>11</v>
      </c>
      <c r="C12" s="644"/>
      <c r="D12" s="644"/>
      <c r="E12" s="645"/>
    </row>
    <row r="13" spans="2:5" s="34" customFormat="1">
      <c r="B13" s="643" t="s">
        <v>12</v>
      </c>
      <c r="C13" s="644"/>
      <c r="D13" s="644"/>
      <c r="E13" s="645"/>
    </row>
    <row r="14" spans="2:5" s="34" customFormat="1">
      <c r="B14" s="643" t="s">
        <v>10</v>
      </c>
      <c r="C14" s="646"/>
      <c r="D14" s="646"/>
      <c r="E14" s="647"/>
    </row>
    <row r="15" spans="2:5" s="34" customFormat="1">
      <c r="B15" s="643" t="s">
        <v>13</v>
      </c>
      <c r="C15" s="644"/>
      <c r="D15" s="644"/>
      <c r="E15" s="645"/>
    </row>
    <row r="16" spans="2:5" s="34" customFormat="1">
      <c r="B16" s="643" t="s">
        <v>14</v>
      </c>
      <c r="C16" s="644"/>
      <c r="D16" s="644"/>
      <c r="E16" s="645"/>
    </row>
    <row r="17" spans="2:5">
      <c r="B17" s="643" t="s">
        <v>866</v>
      </c>
      <c r="C17" s="644"/>
      <c r="D17" s="644"/>
      <c r="E17" s="645"/>
    </row>
    <row r="18" spans="2:5">
      <c r="B18" s="654"/>
      <c r="C18" s="655"/>
      <c r="D18" s="655"/>
      <c r="E18" s="656"/>
    </row>
    <row r="19" spans="2:5" ht="12.75" customHeight="1">
      <c r="B19" s="651" t="s">
        <v>867</v>
      </c>
      <c r="C19" s="652"/>
      <c r="D19" s="652"/>
      <c r="E19" s="653"/>
    </row>
    <row r="20" spans="2:5">
      <c r="B20" s="651"/>
      <c r="C20" s="652"/>
      <c r="D20" s="652"/>
      <c r="E20" s="653"/>
    </row>
    <row r="21" spans="2:5">
      <c r="B21" s="651"/>
      <c r="C21" s="652"/>
      <c r="D21" s="652"/>
      <c r="E21" s="653"/>
    </row>
    <row r="22" spans="2:5">
      <c r="B22" s="651"/>
      <c r="C22" s="652"/>
      <c r="D22" s="652"/>
      <c r="E22" s="653"/>
    </row>
    <row r="23" spans="2:5">
      <c r="B23" s="651"/>
      <c r="C23" s="652"/>
      <c r="D23" s="652"/>
      <c r="E23" s="653"/>
    </row>
    <row r="24" spans="2:5" ht="12.75" customHeight="1">
      <c r="B24" s="68"/>
      <c r="C24" s="69"/>
      <c r="D24" s="69"/>
      <c r="E24" s="70"/>
    </row>
    <row r="25" spans="2:5">
      <c r="B25" s="54"/>
      <c r="C25" s="31"/>
      <c r="D25" s="31"/>
      <c r="E25" s="56"/>
    </row>
    <row r="26" spans="2:5" ht="52.5" customHeight="1" thickBot="1">
      <c r="B26" s="648" t="s">
        <v>786</v>
      </c>
      <c r="C26" s="649"/>
      <c r="D26" s="649"/>
      <c r="E26" s="650"/>
    </row>
    <row r="27" spans="2:5" ht="12.75" customHeight="1">
      <c r="B27" s="57"/>
      <c r="C27" s="58"/>
      <c r="D27" s="58"/>
      <c r="E27" s="59"/>
    </row>
    <row r="28" spans="2:5">
      <c r="B28" s="54"/>
      <c r="C28" s="60" t="s">
        <v>93</v>
      </c>
      <c r="D28" s="182" t="s">
        <v>94</v>
      </c>
      <c r="E28" s="56"/>
    </row>
    <row r="29" spans="2:5">
      <c r="B29" s="54"/>
      <c r="C29" s="60" t="s">
        <v>95</v>
      </c>
      <c r="D29" s="182" t="s">
        <v>151</v>
      </c>
      <c r="E29" s="56"/>
    </row>
    <row r="30" spans="2:5">
      <c r="B30" s="54"/>
      <c r="C30" s="60" t="s">
        <v>737</v>
      </c>
      <c r="D30" s="182" t="s">
        <v>738</v>
      </c>
      <c r="E30" s="56"/>
    </row>
    <row r="31" spans="2:5">
      <c r="B31" s="54"/>
      <c r="C31" s="60" t="s">
        <v>97</v>
      </c>
      <c r="D31" s="183" t="s">
        <v>124</v>
      </c>
      <c r="E31" s="56"/>
    </row>
    <row r="32" spans="2:5">
      <c r="B32" s="54"/>
      <c r="C32" s="60" t="s">
        <v>98</v>
      </c>
      <c r="D32" s="183" t="s">
        <v>123</v>
      </c>
      <c r="E32" s="56"/>
    </row>
    <row r="33" spans="2:5">
      <c r="B33" s="54"/>
      <c r="C33" s="60" t="s">
        <v>739</v>
      </c>
      <c r="D33" s="182" t="s">
        <v>740</v>
      </c>
      <c r="E33" s="56"/>
    </row>
    <row r="34" spans="2:5">
      <c r="B34" s="54"/>
      <c r="C34" s="60"/>
      <c r="D34" s="183"/>
      <c r="E34" s="56"/>
    </row>
    <row r="35" spans="2:5">
      <c r="B35" s="54"/>
      <c r="C35" s="60"/>
      <c r="D35" s="182"/>
      <c r="E35" s="56"/>
    </row>
    <row r="36" spans="2:5">
      <c r="B36" s="54"/>
      <c r="C36" s="60" t="s">
        <v>144</v>
      </c>
      <c r="D36" s="182" t="s">
        <v>145</v>
      </c>
      <c r="E36" s="56"/>
    </row>
    <row r="37" spans="2:5">
      <c r="B37" s="54"/>
      <c r="C37" s="60" t="s">
        <v>150</v>
      </c>
      <c r="D37" s="182" t="s">
        <v>96</v>
      </c>
      <c r="E37" s="56"/>
    </row>
    <row r="38" spans="2:5">
      <c r="B38" s="54"/>
      <c r="C38" s="60" t="s">
        <v>99</v>
      </c>
      <c r="D38" s="182" t="s">
        <v>100</v>
      </c>
      <c r="E38" s="56"/>
    </row>
    <row r="39" spans="2:5">
      <c r="B39" s="54"/>
      <c r="C39" s="60" t="s">
        <v>101</v>
      </c>
      <c r="D39" s="182" t="s">
        <v>102</v>
      </c>
      <c r="E39" s="56"/>
    </row>
    <row r="40" spans="2:5">
      <c r="B40" s="54"/>
      <c r="C40" s="60" t="s">
        <v>103</v>
      </c>
      <c r="D40" s="182" t="s">
        <v>104</v>
      </c>
      <c r="E40" s="56"/>
    </row>
    <row r="41" spans="2:5">
      <c r="B41" s="54"/>
      <c r="C41" s="60" t="s">
        <v>120</v>
      </c>
      <c r="D41" s="182" t="s">
        <v>121</v>
      </c>
      <c r="E41" s="56"/>
    </row>
    <row r="42" spans="2:5">
      <c r="B42" s="54"/>
      <c r="C42" s="60" t="s">
        <v>105</v>
      </c>
      <c r="D42" s="182" t="s">
        <v>106</v>
      </c>
      <c r="E42" s="56"/>
    </row>
    <row r="43" spans="2:5">
      <c r="B43" s="54"/>
      <c r="C43" s="60" t="s">
        <v>107</v>
      </c>
      <c r="D43" s="182" t="s">
        <v>108</v>
      </c>
      <c r="E43" s="56"/>
    </row>
    <row r="44" spans="2:5">
      <c r="B44" s="54"/>
      <c r="C44" s="60" t="s">
        <v>115</v>
      </c>
      <c r="D44" s="182" t="s">
        <v>119</v>
      </c>
      <c r="E44" s="56"/>
    </row>
    <row r="45" spans="2:5">
      <c r="B45" s="54"/>
      <c r="C45" s="60" t="s">
        <v>109</v>
      </c>
      <c r="D45" s="182"/>
      <c r="E45" s="56"/>
    </row>
    <row r="46" spans="2:5">
      <c r="B46" s="54"/>
      <c r="C46" s="60"/>
      <c r="D46" s="182"/>
      <c r="E46" s="56"/>
    </row>
    <row r="47" spans="2:5">
      <c r="B47" s="54"/>
      <c r="C47" s="60" t="s">
        <v>116</v>
      </c>
      <c r="D47" s="182" t="s">
        <v>117</v>
      </c>
      <c r="E47" s="56"/>
    </row>
    <row r="48" spans="2:5" ht="13.5" thickBot="1">
      <c r="B48" s="54"/>
      <c r="C48" s="61"/>
      <c r="D48" s="62"/>
      <c r="E48" s="56"/>
    </row>
    <row r="49" spans="2:5" ht="13.5" thickBot="1">
      <c r="B49" s="634" t="s">
        <v>110</v>
      </c>
      <c r="C49" s="635"/>
      <c r="D49" s="635"/>
      <c r="E49" s="636"/>
    </row>
    <row r="50" spans="2:5" ht="13.5" thickBot="1">
      <c r="B50" s="637" t="s">
        <v>111</v>
      </c>
      <c r="C50" s="638"/>
      <c r="D50" s="500" t="s">
        <v>91</v>
      </c>
      <c r="E50" s="501" t="s">
        <v>92</v>
      </c>
    </row>
    <row r="51" spans="2:5" ht="26.25" customHeight="1">
      <c r="B51" s="639" t="s">
        <v>112</v>
      </c>
      <c r="C51" s="640"/>
      <c r="D51" s="498" t="s">
        <v>259</v>
      </c>
      <c r="E51" s="499">
        <v>39630</v>
      </c>
    </row>
    <row r="52" spans="2:5" ht="18" customHeight="1">
      <c r="B52" s="641" t="s">
        <v>113</v>
      </c>
      <c r="C52" s="642"/>
      <c r="D52" s="63" t="s">
        <v>260</v>
      </c>
      <c r="E52" s="64">
        <v>37742</v>
      </c>
    </row>
    <row r="53" spans="2:5" ht="27" customHeight="1">
      <c r="B53" s="641" t="s">
        <v>114</v>
      </c>
      <c r="C53" s="642"/>
      <c r="D53" s="63" t="s">
        <v>261</v>
      </c>
      <c r="E53" s="64">
        <v>39600</v>
      </c>
    </row>
    <row r="54" spans="2:5" ht="26.25" customHeight="1" thickBot="1">
      <c r="B54" s="632" t="s">
        <v>122</v>
      </c>
      <c r="C54" s="633"/>
      <c r="D54" s="65" t="s">
        <v>261</v>
      </c>
      <c r="E54" s="66">
        <v>40118</v>
      </c>
    </row>
    <row r="55" spans="2:5" s="8" customFormat="1" ht="9">
      <c r="B55" s="7"/>
      <c r="D55" s="9"/>
    </row>
    <row r="60" spans="2:5">
      <c r="B60" s="10"/>
    </row>
    <row r="61" spans="2:5">
      <c r="B61" s="10"/>
    </row>
    <row r="62" spans="2:5">
      <c r="B62" s="10"/>
    </row>
  </sheetData>
  <mergeCells count="20">
    <mergeCell ref="B1:E2"/>
    <mergeCell ref="B3:E3"/>
    <mergeCell ref="B8:E8"/>
    <mergeCell ref="B10:E10"/>
    <mergeCell ref="B5:E6"/>
    <mergeCell ref="B12:E12"/>
    <mergeCell ref="B13:E13"/>
    <mergeCell ref="B14:E14"/>
    <mergeCell ref="B15:E15"/>
    <mergeCell ref="B26:E26"/>
    <mergeCell ref="B19:E23"/>
    <mergeCell ref="B16:E16"/>
    <mergeCell ref="B17:E17"/>
    <mergeCell ref="B18:E18"/>
    <mergeCell ref="B54:C54"/>
    <mergeCell ref="B49:E49"/>
    <mergeCell ref="B50:C50"/>
    <mergeCell ref="B51:C51"/>
    <mergeCell ref="B52:C52"/>
    <mergeCell ref="B53:C53"/>
  </mergeCells>
  <phoneticPr fontId="0" type="noConversion"/>
  <printOptions horizontalCentered="1" verticalCentered="1"/>
  <pageMargins left="0.25" right="0.25" top="0.41" bottom="0.8125" header="0.17" footer="0.16"/>
  <pageSetup scale="91" fitToHeight="27" orientation="portrait" r:id="rId1"/>
  <headerFooter alignWithMargins="0">
    <oddFooter xml:space="preserve">&amp;L&amp;6&amp;Z&amp;F&amp;CQAI_6012 AAR Mobility PPAP Workbook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L54"/>
  <sheetViews>
    <sheetView zoomScaleNormal="100" workbookViewId="0">
      <selection activeCell="O21" sqref="O21"/>
    </sheetView>
  </sheetViews>
  <sheetFormatPr defaultColWidth="9.140625" defaultRowHeight="12.75"/>
  <cols>
    <col min="1" max="1" width="3.5703125" style="1" customWidth="1"/>
    <col min="2" max="2" width="9.140625" style="1"/>
    <col min="3" max="3" width="5.5703125" style="1" customWidth="1"/>
    <col min="4" max="4" width="9.140625" style="1"/>
    <col min="5" max="10" width="10.42578125" style="1" customWidth="1"/>
    <col min="11" max="11" width="9.140625" style="1"/>
    <col min="12" max="12" width="3.7109375" style="1" customWidth="1"/>
    <col min="13" max="16384" width="9.140625" style="1"/>
  </cols>
  <sheetData>
    <row r="1" spans="1:12" ht="15.75">
      <c r="A1" s="582"/>
      <c r="B1" s="576"/>
      <c r="C1" s="576"/>
      <c r="D1" s="576"/>
      <c r="E1" s="1013" t="s">
        <v>873</v>
      </c>
      <c r="F1" s="1014"/>
      <c r="G1" s="1014"/>
      <c r="H1" s="1014"/>
      <c r="I1" s="1014"/>
      <c r="J1" s="1014"/>
      <c r="K1" s="1014"/>
      <c r="L1" s="1015"/>
    </row>
    <row r="2" spans="1:12" ht="15">
      <c r="A2" s="577"/>
      <c r="B2" s="578"/>
      <c r="C2" s="578"/>
      <c r="D2" s="578"/>
      <c r="E2" s="1016"/>
      <c r="F2" s="1016"/>
      <c r="G2" s="1016"/>
      <c r="H2" s="1016"/>
      <c r="I2" s="1016"/>
      <c r="J2" s="1016"/>
      <c r="K2" s="1016"/>
      <c r="L2" s="1017"/>
    </row>
    <row r="3" spans="1:12" ht="15">
      <c r="A3" s="577"/>
      <c r="B3" s="578"/>
      <c r="C3" s="578"/>
      <c r="D3" s="578"/>
      <c r="E3" s="1016"/>
      <c r="F3" s="1016"/>
      <c r="G3" s="1016"/>
      <c r="H3" s="1016"/>
      <c r="I3" s="1016"/>
      <c r="J3" s="1016"/>
      <c r="K3" s="1016"/>
      <c r="L3" s="1017"/>
    </row>
    <row r="4" spans="1:12" ht="15">
      <c r="A4" s="577"/>
      <c r="B4" s="578"/>
      <c r="C4" s="578"/>
      <c r="D4" s="578"/>
      <c r="E4" s="1016"/>
      <c r="F4" s="1016"/>
      <c r="G4" s="1016"/>
      <c r="H4" s="1016"/>
      <c r="I4" s="1016"/>
      <c r="J4" s="1016"/>
      <c r="K4" s="1016"/>
      <c r="L4" s="1017"/>
    </row>
    <row r="5" spans="1:12" ht="15">
      <c r="A5" s="577"/>
      <c r="B5" s="578"/>
      <c r="C5" s="578"/>
      <c r="D5" s="578"/>
      <c r="E5" s="1016"/>
      <c r="F5" s="1016"/>
      <c r="G5" s="1016"/>
      <c r="H5" s="1016"/>
      <c r="I5" s="1016"/>
      <c r="J5" s="1016"/>
      <c r="K5" s="1016"/>
      <c r="L5" s="1017"/>
    </row>
    <row r="6" spans="1:12" ht="15.75" thickBot="1">
      <c r="A6" s="579"/>
      <c r="B6" s="580"/>
      <c r="C6" s="580"/>
      <c r="D6" s="580"/>
      <c r="E6" s="1018"/>
      <c r="F6" s="1018"/>
      <c r="G6" s="1018"/>
      <c r="H6" s="1018"/>
      <c r="I6" s="1018"/>
      <c r="J6" s="1018"/>
      <c r="K6" s="1018"/>
      <c r="L6" s="1019"/>
    </row>
    <row r="8" spans="1:12" s="160" customFormat="1" ht="11.25">
      <c r="A8" s="161" t="s">
        <v>95</v>
      </c>
      <c r="B8" s="162"/>
      <c r="C8" s="162"/>
      <c r="D8" s="163"/>
      <c r="E8" s="161" t="s">
        <v>371</v>
      </c>
      <c r="F8" s="162"/>
      <c r="G8" s="163"/>
      <c r="H8" s="161" t="s">
        <v>372</v>
      </c>
      <c r="I8" s="162"/>
      <c r="J8" s="163"/>
    </row>
    <row r="9" spans="1:12" s="255" customFormat="1">
      <c r="A9" s="1011" t="s">
        <v>869</v>
      </c>
      <c r="B9" s="1012"/>
      <c r="C9" s="253"/>
      <c r="D9" s="254"/>
      <c r="E9" s="170"/>
      <c r="F9" s="253"/>
      <c r="G9" s="254"/>
      <c r="H9" s="170"/>
      <c r="I9" s="253"/>
      <c r="J9" s="254"/>
    </row>
    <row r="10" spans="1:12" s="160" customFormat="1" ht="11.25">
      <c r="A10" s="161" t="s">
        <v>93</v>
      </c>
      <c r="B10" s="162"/>
      <c r="C10" s="162"/>
      <c r="D10" s="163"/>
      <c r="E10" s="161" t="s">
        <v>373</v>
      </c>
      <c r="F10" s="162"/>
      <c r="G10" s="163"/>
      <c r="H10" s="161" t="s">
        <v>374</v>
      </c>
      <c r="I10" s="162"/>
      <c r="J10" s="163"/>
    </row>
    <row r="11" spans="1:12" s="255" customFormat="1">
      <c r="A11" s="256" t="s">
        <v>869</v>
      </c>
      <c r="B11" s="253"/>
      <c r="C11" s="253"/>
      <c r="D11" s="254"/>
      <c r="E11" s="170"/>
      <c r="F11" s="253"/>
      <c r="G11" s="254"/>
      <c r="H11" s="170"/>
      <c r="I11" s="253"/>
      <c r="J11" s="254"/>
    </row>
    <row r="12" spans="1:12" s="160" customFormat="1" ht="11.25">
      <c r="A12" s="257" t="s">
        <v>375</v>
      </c>
      <c r="B12" s="258"/>
      <c r="C12" s="258"/>
      <c r="D12" s="259"/>
      <c r="E12" s="257" t="s">
        <v>376</v>
      </c>
      <c r="F12" s="258"/>
      <c r="G12" s="161" t="s">
        <v>377</v>
      </c>
      <c r="H12" s="163"/>
      <c r="I12" s="161" t="s">
        <v>378</v>
      </c>
      <c r="J12" s="163"/>
    </row>
    <row r="13" spans="1:12" s="255" customFormat="1">
      <c r="A13" s="170"/>
      <c r="B13" s="260"/>
      <c r="C13" s="260"/>
      <c r="D13" s="261"/>
      <c r="E13" s="170"/>
      <c r="F13" s="260"/>
      <c r="G13" s="262"/>
      <c r="H13" s="263"/>
      <c r="I13" s="264"/>
      <c r="J13" s="265"/>
    </row>
    <row r="16" spans="1:12">
      <c r="A16" s="266" t="s">
        <v>379</v>
      </c>
      <c r="B16" s="267"/>
      <c r="C16" s="267"/>
      <c r="D16" s="268"/>
      <c r="E16" s="269"/>
      <c r="F16" s="269"/>
      <c r="G16" s="269"/>
      <c r="H16" s="269"/>
      <c r="I16" s="269"/>
      <c r="J16" s="269"/>
    </row>
    <row r="17" spans="1:10" ht="15.75">
      <c r="A17" s="270" t="s">
        <v>380</v>
      </c>
      <c r="B17" s="270" t="s">
        <v>394</v>
      </c>
      <c r="C17" s="270" t="s">
        <v>40</v>
      </c>
      <c r="D17" s="270" t="s">
        <v>395</v>
      </c>
      <c r="E17" s="269"/>
      <c r="F17" s="1" t="s">
        <v>381</v>
      </c>
      <c r="G17" s="269"/>
      <c r="H17" s="269"/>
      <c r="I17" s="269"/>
      <c r="J17" s="269"/>
    </row>
    <row r="18" spans="1:10">
      <c r="A18" s="270">
        <v>1</v>
      </c>
      <c r="B18" s="271"/>
      <c r="C18" s="272"/>
      <c r="D18" s="273">
        <f t="shared" ref="D18:D26" si="0">IF(AND(C18=0,C19=0),0,IF(AND(C18=0,C19&lt;&gt;0),0.025,IF(C18&lt;10,(C18+0.5)/20,IF(C18=10,0.5,IF(AND(C18&gt;10,C18&lt;20),(C18-0.5)/20,IF(AND(C18=20,A18&lt;&gt;9),0.975,IF(AND(C18=20,A18=9),1,"?")))))))</f>
        <v>0</v>
      </c>
      <c r="E18" s="269"/>
      <c r="F18" s="274" t="s">
        <v>382</v>
      </c>
      <c r="G18" s="275"/>
      <c r="H18" s="269"/>
      <c r="I18" s="269"/>
      <c r="J18" s="269"/>
    </row>
    <row r="19" spans="1:10">
      <c r="A19" s="270">
        <v>2</v>
      </c>
      <c r="B19" s="271"/>
      <c r="C19" s="272"/>
      <c r="D19" s="273">
        <f t="shared" si="0"/>
        <v>0</v>
      </c>
      <c r="E19" s="269"/>
      <c r="G19" s="275"/>
      <c r="H19" s="269"/>
      <c r="I19" s="269"/>
      <c r="J19" s="269"/>
    </row>
    <row r="20" spans="1:10">
      <c r="A20" s="270">
        <v>3</v>
      </c>
      <c r="B20" s="271"/>
      <c r="C20" s="272"/>
      <c r="D20" s="273">
        <f t="shared" si="0"/>
        <v>0</v>
      </c>
      <c r="E20" s="269"/>
      <c r="G20" s="275"/>
      <c r="H20" s="269"/>
      <c r="I20" s="269"/>
      <c r="J20" s="269"/>
    </row>
    <row r="21" spans="1:10">
      <c r="A21" s="270">
        <v>4</v>
      </c>
      <c r="B21" s="271"/>
      <c r="C21" s="272"/>
      <c r="D21" s="273">
        <f t="shared" si="0"/>
        <v>0</v>
      </c>
      <c r="E21" s="269"/>
      <c r="G21" s="275"/>
      <c r="H21" s="269"/>
      <c r="I21" s="269"/>
      <c r="J21" s="269"/>
    </row>
    <row r="22" spans="1:10">
      <c r="A22" s="270">
        <v>5</v>
      </c>
      <c r="B22" s="271"/>
      <c r="C22" s="272"/>
      <c r="D22" s="273">
        <f t="shared" si="0"/>
        <v>0</v>
      </c>
      <c r="E22" s="269"/>
      <c r="G22" s="275"/>
      <c r="H22" s="269"/>
      <c r="I22" s="269"/>
      <c r="J22" s="269"/>
    </row>
    <row r="23" spans="1:10">
      <c r="A23" s="270">
        <v>6</v>
      </c>
      <c r="B23" s="271"/>
      <c r="C23" s="272"/>
      <c r="D23" s="273">
        <f t="shared" si="0"/>
        <v>0</v>
      </c>
      <c r="E23" s="269"/>
      <c r="G23" s="275"/>
      <c r="H23" s="269"/>
      <c r="I23" s="269"/>
      <c r="J23" s="269"/>
    </row>
    <row r="24" spans="1:10">
      <c r="A24" s="270">
        <v>7</v>
      </c>
      <c r="B24" s="271"/>
      <c r="C24" s="272"/>
      <c r="D24" s="273">
        <f t="shared" si="0"/>
        <v>0</v>
      </c>
      <c r="E24" s="269"/>
      <c r="G24" s="275"/>
      <c r="H24" s="269"/>
      <c r="I24" s="269"/>
      <c r="J24" s="269"/>
    </row>
    <row r="25" spans="1:10">
      <c r="A25" s="270">
        <v>8</v>
      </c>
      <c r="B25" s="271"/>
      <c r="C25" s="272"/>
      <c r="D25" s="273">
        <f t="shared" si="0"/>
        <v>0</v>
      </c>
      <c r="E25" s="269"/>
      <c r="G25" s="275"/>
      <c r="H25" s="269"/>
      <c r="I25" s="269"/>
      <c r="J25" s="269"/>
    </row>
    <row r="26" spans="1:10">
      <c r="A26" s="270">
        <v>9</v>
      </c>
      <c r="B26" s="271"/>
      <c r="C26" s="272"/>
      <c r="D26" s="273">
        <f t="shared" si="0"/>
        <v>0</v>
      </c>
      <c r="E26" s="269"/>
      <c r="G26" s="275"/>
      <c r="H26" s="269"/>
      <c r="I26" s="269"/>
      <c r="J26" s="269"/>
    </row>
    <row r="27" spans="1:10">
      <c r="E27" s="269"/>
      <c r="G27" s="269"/>
      <c r="H27" s="269"/>
      <c r="I27" s="269"/>
      <c r="J27" s="269"/>
    </row>
    <row r="28" spans="1:10">
      <c r="E28" s="269"/>
      <c r="G28" s="269"/>
      <c r="H28" s="269"/>
      <c r="I28" s="269"/>
      <c r="J28" s="269"/>
    </row>
    <row r="29" spans="1:10">
      <c r="B29" s="1" t="s">
        <v>383</v>
      </c>
      <c r="E29" s="269"/>
      <c r="G29" s="269"/>
      <c r="H29" s="269"/>
      <c r="I29" s="269"/>
      <c r="J29" s="269"/>
    </row>
    <row r="30" spans="1:10">
      <c r="B30" s="1" t="s">
        <v>384</v>
      </c>
      <c r="E30" s="269"/>
      <c r="G30" s="269"/>
      <c r="H30" s="269"/>
      <c r="I30" s="269"/>
      <c r="J30" s="269"/>
    </row>
    <row r="31" spans="1:10" ht="15.75">
      <c r="B31" s="134" t="s">
        <v>396</v>
      </c>
      <c r="C31" s="134"/>
      <c r="D31" s="272"/>
      <c r="E31" s="269"/>
      <c r="F31" s="269"/>
      <c r="G31" s="269"/>
      <c r="H31" s="269"/>
      <c r="I31" s="269"/>
      <c r="J31" s="269"/>
    </row>
    <row r="32" spans="1:10" ht="15.75">
      <c r="B32" s="134" t="s">
        <v>397</v>
      </c>
      <c r="C32" s="134"/>
      <c r="D32" s="272"/>
      <c r="E32" s="269"/>
      <c r="F32" s="269"/>
      <c r="G32" s="269"/>
      <c r="H32" s="269"/>
      <c r="I32" s="269"/>
      <c r="J32" s="269"/>
    </row>
    <row r="33" spans="1:10" ht="15.75">
      <c r="B33" s="134" t="s">
        <v>398</v>
      </c>
      <c r="C33" s="134"/>
      <c r="D33" s="272"/>
      <c r="E33" s="269"/>
      <c r="F33" s="269"/>
      <c r="G33" s="269"/>
      <c r="H33" s="269"/>
      <c r="I33" s="269"/>
      <c r="J33" s="269"/>
    </row>
    <row r="34" spans="1:10">
      <c r="E34" s="269"/>
      <c r="F34" s="269"/>
      <c r="G34" s="269"/>
      <c r="H34" s="269"/>
      <c r="I34" s="269"/>
      <c r="J34" s="269"/>
    </row>
    <row r="35" spans="1:10">
      <c r="E35" s="269"/>
      <c r="F35" s="269"/>
      <c r="G35" s="269"/>
      <c r="H35" s="269"/>
      <c r="I35" s="269"/>
      <c r="J35" s="269"/>
    </row>
    <row r="36" spans="1:10">
      <c r="E36" s="269"/>
      <c r="F36" s="269"/>
      <c r="G36" s="269"/>
      <c r="H36" s="269"/>
      <c r="I36" s="269"/>
      <c r="J36" s="269"/>
    </row>
    <row r="37" spans="1:10">
      <c r="E37" s="269"/>
      <c r="F37" s="269"/>
      <c r="G37" s="269"/>
      <c r="H37" s="269"/>
      <c r="I37" s="269"/>
      <c r="J37" s="269"/>
    </row>
    <row r="38" spans="1:10" ht="15.75">
      <c r="A38" s="276" t="s">
        <v>385</v>
      </c>
      <c r="B38" s="277"/>
      <c r="C38" s="277"/>
      <c r="D38" s="278"/>
      <c r="E38" s="277"/>
      <c r="F38" s="277"/>
      <c r="G38" s="277"/>
      <c r="H38" s="279"/>
      <c r="I38" s="280"/>
      <c r="J38" s="281"/>
    </row>
    <row r="39" spans="1:10">
      <c r="A39" s="282" t="s">
        <v>386</v>
      </c>
      <c r="B39" s="116"/>
      <c r="C39" s="116"/>
      <c r="D39" s="116"/>
      <c r="E39" s="116"/>
      <c r="F39" s="282" t="s">
        <v>387</v>
      </c>
      <c r="G39" s="116"/>
      <c r="H39" s="116"/>
      <c r="I39" s="116"/>
      <c r="J39" s="117"/>
    </row>
    <row r="40" spans="1:10">
      <c r="A40" s="150"/>
      <c r="B40" s="283" t="s">
        <v>388</v>
      </c>
      <c r="C40" s="5" t="s">
        <v>389</v>
      </c>
      <c r="D40" s="284" t="str">
        <f>IF(D31&lt;&gt;"",CONCATENATE(TEXT($I$13,"0.0000")," - (",TEXT($D$31,"0.000"),")"),"")</f>
        <v/>
      </c>
      <c r="E40" s="4"/>
      <c r="F40" s="285" t="s">
        <v>160</v>
      </c>
      <c r="G40" s="5" t="s">
        <v>389</v>
      </c>
      <c r="H40" s="284" t="str">
        <f>IF(D31&lt;&gt;"",CONCATENATE("(",TEXT($D$32,"0.0000")," - (",TEXT($D$33,"0.0000"),")) / ",1.08),"")</f>
        <v/>
      </c>
      <c r="I40" s="4"/>
      <c r="J40" s="110"/>
    </row>
    <row r="41" spans="1:10">
      <c r="A41" s="109"/>
      <c r="B41" s="5"/>
      <c r="C41" s="5" t="s">
        <v>389</v>
      </c>
      <c r="D41" s="286" t="str">
        <f>IF(D31&lt;&gt;"",$I$13-$D$31,"")</f>
        <v/>
      </c>
      <c r="E41" s="4"/>
      <c r="F41" s="109"/>
      <c r="G41" s="5" t="s">
        <v>389</v>
      </c>
      <c r="H41" s="286" t="str">
        <f>IF(D31&lt;&gt;"",($D$32-$D$33)/1.08,"")</f>
        <v/>
      </c>
      <c r="I41" s="4"/>
      <c r="J41" s="110"/>
    </row>
    <row r="42" spans="1:10">
      <c r="A42" s="112"/>
      <c r="B42" s="133"/>
      <c r="C42" s="287"/>
      <c r="D42" s="113"/>
      <c r="E42" s="113"/>
      <c r="F42" s="112"/>
      <c r="G42" s="113"/>
      <c r="H42" s="113"/>
      <c r="I42" s="113"/>
      <c r="J42" s="114"/>
    </row>
    <row r="43" spans="1:10">
      <c r="A43" s="282" t="s">
        <v>390</v>
      </c>
      <c r="B43" s="116"/>
      <c r="C43" s="116"/>
      <c r="D43" s="116"/>
      <c r="E43" s="116"/>
      <c r="F43" s="117"/>
      <c r="G43" s="116"/>
      <c r="H43" s="116"/>
      <c r="I43" s="116"/>
      <c r="J43" s="117"/>
    </row>
    <row r="44" spans="1:10" ht="15.75">
      <c r="A44" s="109"/>
      <c r="B44" s="283" t="s">
        <v>41</v>
      </c>
      <c r="C44" s="5" t="s">
        <v>389</v>
      </c>
      <c r="D44" s="4" t="s">
        <v>391</v>
      </c>
      <c r="E44" s="4"/>
      <c r="F44" s="110"/>
      <c r="G44" s="283" t="s">
        <v>399</v>
      </c>
      <c r="H44" s="5" t="s">
        <v>389</v>
      </c>
      <c r="I44" s="5">
        <v>2.093</v>
      </c>
      <c r="J44" s="110"/>
    </row>
    <row r="45" spans="1:10">
      <c r="A45" s="109"/>
      <c r="B45" s="4"/>
      <c r="C45" s="5" t="s">
        <v>389</v>
      </c>
      <c r="D45" s="284" t="str">
        <f>IF(D31&lt;&gt;"",CONCATENATE("31.3 x ",TEXT(ABS($D$41),"0.0000")," / ",TEXT($H$41,"0.0000")),"")</f>
        <v/>
      </c>
      <c r="E45" s="4"/>
      <c r="F45" s="110"/>
      <c r="G45" s="4"/>
      <c r="H45" s="4"/>
      <c r="I45" s="4"/>
      <c r="J45" s="110"/>
    </row>
    <row r="46" spans="1:10">
      <c r="A46" s="109"/>
      <c r="B46" s="4"/>
      <c r="C46" s="5" t="s">
        <v>389</v>
      </c>
      <c r="D46" s="288" t="str">
        <f>IF(D31&lt;&gt;"",31.3*ABS($D$41)/$H$41,"")</f>
        <v/>
      </c>
      <c r="E46" s="4"/>
      <c r="F46" s="110"/>
      <c r="G46" s="4"/>
      <c r="H46" s="4"/>
      <c r="I46" s="4"/>
      <c r="J46" s="110"/>
    </row>
    <row r="47" spans="1:10">
      <c r="A47" s="112"/>
      <c r="B47" s="113"/>
      <c r="C47" s="113"/>
      <c r="D47" s="113"/>
      <c r="E47" s="113"/>
      <c r="F47" s="114"/>
      <c r="G47" s="113"/>
      <c r="H47" s="113"/>
      <c r="I47" s="113"/>
      <c r="J47" s="114"/>
    </row>
    <row r="48" spans="1:10">
      <c r="A48" s="282" t="s">
        <v>392</v>
      </c>
      <c r="B48" s="116"/>
      <c r="C48" s="116"/>
      <c r="D48" s="116"/>
      <c r="E48" s="116"/>
      <c r="F48" s="116"/>
      <c r="G48" s="116"/>
      <c r="H48" s="116"/>
      <c r="I48" s="116"/>
      <c r="J48" s="117"/>
    </row>
    <row r="49" spans="1:10">
      <c r="A49" s="289"/>
      <c r="B49" s="4"/>
      <c r="C49" s="4"/>
      <c r="D49" s="4"/>
      <c r="E49" s="4"/>
      <c r="F49" s="4"/>
      <c r="G49" s="4"/>
      <c r="H49" s="4"/>
      <c r="I49" s="4"/>
      <c r="J49" s="110"/>
    </row>
    <row r="50" spans="1:10" ht="15">
      <c r="A50" s="109"/>
      <c r="B50" s="290" t="str">
        <f>IF(D31&lt;&gt;"",IF($D$46&gt;$I$44,"The bias is significantly different from zero, the gage FAILS","The bias is insignificant from zero, the gage PASSES."),"")</f>
        <v/>
      </c>
      <c r="C50" s="4"/>
      <c r="D50" s="4"/>
      <c r="E50" s="4"/>
      <c r="F50" s="4"/>
      <c r="G50" s="4"/>
      <c r="H50" s="4"/>
      <c r="I50" s="4"/>
      <c r="J50" s="110"/>
    </row>
    <row r="51" spans="1:10">
      <c r="A51" s="112"/>
      <c r="B51" s="113"/>
      <c r="C51" s="113"/>
      <c r="D51" s="113"/>
      <c r="E51" s="113"/>
      <c r="F51" s="113"/>
      <c r="G51" s="113"/>
      <c r="H51" s="113"/>
      <c r="I51" s="113"/>
      <c r="J51" s="114"/>
    </row>
    <row r="53" spans="1:10">
      <c r="F53" s="1" t="s">
        <v>393</v>
      </c>
      <c r="G53" s="128"/>
      <c r="H53" s="128"/>
      <c r="I53" s="128"/>
      <c r="J53" s="128"/>
    </row>
    <row r="54" spans="1:10">
      <c r="G54" s="269"/>
      <c r="H54" s="291" t="s">
        <v>75</v>
      </c>
      <c r="I54" s="291"/>
      <c r="J54" s="269"/>
    </row>
  </sheetData>
  <mergeCells count="2">
    <mergeCell ref="A9:B9"/>
    <mergeCell ref="E1:L6"/>
  </mergeCells>
  <phoneticPr fontId="26" type="noConversion"/>
  <printOptions horizontalCentered="1" verticalCentered="1"/>
  <pageMargins left="0.25" right="0.25" top="0.41" bottom="0.8125" header="0.17" footer="0.16"/>
  <pageSetup fitToHeight="27" orientation="portrait" r:id="rId1"/>
  <headerFooter alignWithMargins="0">
    <oddFooter xml:space="preserve">&amp;L&amp;6&amp;Z&amp;F&amp;CQAI_6012 AAR Mobility PPAP Workbook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3"/>
    <pageSetUpPr fitToPage="1"/>
  </sheetPr>
  <dimension ref="A1:M64"/>
  <sheetViews>
    <sheetView zoomScaleNormal="100" workbookViewId="0">
      <selection activeCell="O21" sqref="O21"/>
    </sheetView>
  </sheetViews>
  <sheetFormatPr defaultColWidth="9.140625" defaultRowHeight="12.75"/>
  <cols>
    <col min="1" max="16384" width="9.140625" style="1"/>
  </cols>
  <sheetData>
    <row r="1" spans="1:13">
      <c r="A1" s="1020"/>
      <c r="B1" s="1020"/>
      <c r="C1" s="1020"/>
      <c r="D1" s="1020"/>
      <c r="E1" s="1020"/>
      <c r="F1" s="1020"/>
      <c r="G1" s="1020"/>
      <c r="H1" s="1020"/>
      <c r="I1" s="1020"/>
      <c r="J1" s="1020"/>
      <c r="K1" s="1020"/>
      <c r="L1" s="1020"/>
      <c r="M1" s="1020"/>
    </row>
    <row r="2" spans="1:13">
      <c r="A2" s="1020"/>
      <c r="B2" s="1020"/>
      <c r="C2" s="1020"/>
      <c r="D2" s="1020"/>
      <c r="E2" s="1020"/>
      <c r="F2" s="1020"/>
      <c r="G2" s="1020"/>
      <c r="H2" s="1020"/>
      <c r="I2" s="1020"/>
      <c r="J2" s="1020"/>
      <c r="K2" s="1020"/>
      <c r="L2" s="1020"/>
      <c r="M2" s="1020"/>
    </row>
    <row r="3" spans="1:13">
      <c r="A3" s="1020"/>
      <c r="B3" s="1020"/>
      <c r="C3" s="1020"/>
      <c r="D3" s="1020"/>
      <c r="E3" s="1020"/>
      <c r="F3" s="1020"/>
      <c r="G3" s="1020"/>
      <c r="H3" s="1020"/>
      <c r="I3" s="1020"/>
      <c r="J3" s="1020"/>
      <c r="K3" s="1020"/>
      <c r="L3" s="1020"/>
      <c r="M3" s="1020"/>
    </row>
    <row r="4" spans="1:13">
      <c r="A4" s="1020"/>
      <c r="B4" s="1020"/>
      <c r="C4" s="1020"/>
      <c r="D4" s="1020"/>
      <c r="E4" s="1020"/>
      <c r="F4" s="1020"/>
      <c r="G4" s="1020"/>
      <c r="H4" s="1020"/>
      <c r="I4" s="1020"/>
      <c r="J4" s="1020"/>
      <c r="K4" s="1020"/>
      <c r="L4" s="1020"/>
      <c r="M4" s="1020"/>
    </row>
    <row r="5" spans="1:13" ht="15.75">
      <c r="A5" s="292" t="s">
        <v>400</v>
      </c>
    </row>
    <row r="7" spans="1:13">
      <c r="A7" s="1" t="s">
        <v>401</v>
      </c>
    </row>
    <row r="8" spans="1:13">
      <c r="A8" s="1" t="s">
        <v>402</v>
      </c>
    </row>
    <row r="9" spans="1:13">
      <c r="A9" s="1" t="s">
        <v>403</v>
      </c>
    </row>
    <row r="10" spans="1:13">
      <c r="A10" s="1" t="s">
        <v>404</v>
      </c>
    </row>
    <row r="11" spans="1:13">
      <c r="A11" s="1" t="s">
        <v>405</v>
      </c>
    </row>
    <row r="12" spans="1:13">
      <c r="A12" s="1" t="s">
        <v>406</v>
      </c>
    </row>
    <row r="13" spans="1:13">
      <c r="A13" s="1" t="s">
        <v>407</v>
      </c>
    </row>
    <row r="14" spans="1:13">
      <c r="A14" s="1" t="s">
        <v>408</v>
      </c>
    </row>
    <row r="15" spans="1:13">
      <c r="A15" s="1" t="s">
        <v>409</v>
      </c>
    </row>
    <row r="16" spans="1:13">
      <c r="A16" s="1" t="s">
        <v>410</v>
      </c>
    </row>
    <row r="17" spans="1:13">
      <c r="A17" s="1" t="s">
        <v>411</v>
      </c>
    </row>
    <row r="26" spans="1:13">
      <c r="A26" s="113"/>
      <c r="B26" s="113"/>
      <c r="C26" s="113"/>
      <c r="D26" s="113"/>
      <c r="E26" s="113"/>
      <c r="F26" s="113"/>
      <c r="G26" s="113"/>
      <c r="H26" s="113"/>
      <c r="I26" s="113"/>
    </row>
    <row r="27" spans="1:13">
      <c r="A27" s="115"/>
      <c r="B27" s="116"/>
      <c r="C27" s="116"/>
      <c r="D27" s="116"/>
      <c r="E27" s="116"/>
      <c r="F27" s="116"/>
      <c r="G27" s="116"/>
      <c r="H27" s="116"/>
      <c r="I27" s="116"/>
      <c r="J27" s="116"/>
      <c r="K27" s="116"/>
      <c r="L27" s="116"/>
      <c r="M27" s="117"/>
    </row>
    <row r="28" spans="1:13">
      <c r="A28" s="109"/>
      <c r="B28" s="4"/>
      <c r="C28" s="4"/>
      <c r="D28" s="4"/>
      <c r="E28" s="4"/>
      <c r="F28" s="4"/>
      <c r="G28" s="4"/>
      <c r="H28" s="4"/>
      <c r="I28" s="4"/>
      <c r="J28" s="4"/>
      <c r="K28" s="4"/>
      <c r="L28" s="4"/>
      <c r="M28" s="110"/>
    </row>
    <row r="29" spans="1:13">
      <c r="A29" s="390"/>
      <c r="B29" s="293"/>
      <c r="C29" s="4"/>
      <c r="D29" s="4"/>
      <c r="E29" s="4"/>
      <c r="F29" s="4"/>
      <c r="G29" s="4"/>
      <c r="H29" s="4"/>
      <c r="I29" s="4"/>
      <c r="J29" s="4"/>
      <c r="K29" s="4"/>
      <c r="L29" s="4"/>
      <c r="M29" s="110"/>
    </row>
    <row r="30" spans="1:13">
      <c r="A30" s="585"/>
      <c r="B30" s="583"/>
      <c r="C30" s="4"/>
      <c r="D30" s="4"/>
      <c r="E30" s="4"/>
      <c r="F30" s="4"/>
      <c r="G30" s="4"/>
      <c r="H30" s="4"/>
      <c r="I30" s="4"/>
      <c r="J30" s="4"/>
      <c r="K30" s="4"/>
      <c r="L30" s="4"/>
      <c r="M30" s="110"/>
    </row>
    <row r="31" spans="1:13">
      <c r="A31" s="585"/>
      <c r="B31" s="583"/>
      <c r="C31" s="4"/>
      <c r="D31" s="4"/>
      <c r="E31" s="4"/>
      <c r="F31" s="4"/>
      <c r="G31" s="4"/>
      <c r="H31" s="4"/>
      <c r="I31" s="4"/>
      <c r="J31" s="4"/>
      <c r="K31" s="4"/>
      <c r="L31" s="4"/>
      <c r="M31" s="110"/>
    </row>
    <row r="32" spans="1:13">
      <c r="A32" s="585"/>
      <c r="B32" s="583"/>
      <c r="C32" s="4"/>
      <c r="D32" s="4"/>
      <c r="E32" s="4"/>
      <c r="F32" s="4"/>
      <c r="G32" s="4"/>
      <c r="H32" s="4"/>
      <c r="I32" s="4"/>
      <c r="J32" s="4"/>
      <c r="K32" s="4"/>
      <c r="L32" s="4"/>
      <c r="M32" s="110"/>
    </row>
    <row r="33" spans="1:13">
      <c r="A33" s="585"/>
      <c r="B33" s="583"/>
      <c r="C33" s="4"/>
      <c r="D33" s="4"/>
      <c r="E33" s="4"/>
      <c r="F33" s="4"/>
      <c r="G33" s="4"/>
      <c r="H33" s="4"/>
      <c r="I33" s="4"/>
      <c r="J33" s="4"/>
      <c r="K33" s="4"/>
      <c r="L33" s="4"/>
      <c r="M33" s="110"/>
    </row>
    <row r="34" spans="1:13">
      <c r="A34" s="585"/>
      <c r="B34" s="583"/>
      <c r="C34" s="4"/>
      <c r="D34" s="4"/>
      <c r="E34" s="4"/>
      <c r="F34" s="4"/>
      <c r="G34" s="4"/>
      <c r="H34" s="4"/>
      <c r="I34" s="4"/>
      <c r="J34" s="4"/>
      <c r="K34" s="4"/>
      <c r="L34" s="4"/>
      <c r="M34" s="110"/>
    </row>
    <row r="35" spans="1:13">
      <c r="A35" s="109"/>
      <c r="B35" s="4"/>
      <c r="C35" s="4"/>
      <c r="D35" s="4"/>
      <c r="E35" s="4"/>
      <c r="F35" s="4"/>
      <c r="G35" s="4"/>
      <c r="H35" s="4"/>
      <c r="I35" s="4"/>
      <c r="J35" s="4"/>
      <c r="K35" s="4"/>
      <c r="L35" s="4"/>
      <c r="M35" s="110"/>
    </row>
    <row r="36" spans="1:13">
      <c r="A36" s="109"/>
      <c r="B36" s="4"/>
      <c r="C36" s="4"/>
      <c r="D36" s="4"/>
      <c r="E36" s="4"/>
      <c r="F36" s="4"/>
      <c r="G36" s="4"/>
      <c r="H36" s="4"/>
      <c r="I36" s="4"/>
      <c r="J36" s="4"/>
      <c r="K36" s="4"/>
      <c r="L36" s="4"/>
      <c r="M36" s="110"/>
    </row>
    <row r="37" spans="1:13">
      <c r="A37" s="586"/>
      <c r="B37" s="294"/>
      <c r="C37" s="294"/>
      <c r="D37" s="294"/>
      <c r="E37" s="294"/>
      <c r="F37" s="294"/>
      <c r="G37" s="4"/>
      <c r="H37" s="4"/>
      <c r="I37" s="4"/>
      <c r="J37" s="4"/>
      <c r="K37" s="4"/>
      <c r="L37" s="4"/>
      <c r="M37" s="110"/>
    </row>
    <row r="38" spans="1:13">
      <c r="A38" s="585"/>
      <c r="B38" s="583"/>
      <c r="C38" s="583"/>
      <c r="D38" s="583"/>
      <c r="E38" s="583"/>
      <c r="F38" s="583"/>
      <c r="G38" s="4"/>
      <c r="H38" s="4"/>
      <c r="I38" s="4"/>
      <c r="J38" s="4"/>
      <c r="K38" s="4"/>
      <c r="L38" s="4"/>
      <c r="M38" s="110"/>
    </row>
    <row r="39" spans="1:13">
      <c r="A39" s="585"/>
      <c r="B39" s="583"/>
      <c r="C39" s="583"/>
      <c r="D39" s="583"/>
      <c r="E39" s="583"/>
      <c r="F39" s="583"/>
      <c r="G39" s="4"/>
      <c r="H39" s="4"/>
      <c r="I39" s="4"/>
      <c r="J39" s="4"/>
      <c r="K39" s="4"/>
      <c r="L39" s="4"/>
      <c r="M39" s="110"/>
    </row>
    <row r="40" spans="1:13">
      <c r="A40" s="585"/>
      <c r="B40" s="583"/>
      <c r="C40" s="583"/>
      <c r="D40" s="583"/>
      <c r="E40" s="583"/>
      <c r="F40" s="583"/>
      <c r="G40" s="4"/>
      <c r="H40" s="4"/>
      <c r="I40" s="4"/>
      <c r="J40" s="4"/>
      <c r="K40" s="4"/>
      <c r="L40" s="4"/>
      <c r="M40" s="110"/>
    </row>
    <row r="41" spans="1:13">
      <c r="A41" s="109"/>
      <c r="B41" s="4"/>
      <c r="C41" s="4"/>
      <c r="D41" s="4"/>
      <c r="E41" s="4"/>
      <c r="F41" s="4"/>
      <c r="G41" s="4"/>
      <c r="H41" s="4"/>
      <c r="I41" s="4"/>
      <c r="J41" s="4"/>
      <c r="K41" s="4"/>
      <c r="L41" s="4"/>
      <c r="M41" s="110"/>
    </row>
    <row r="42" spans="1:13">
      <c r="A42" s="586"/>
      <c r="B42" s="294"/>
      <c r="C42" s="294"/>
      <c r="D42" s="294"/>
      <c r="E42" s="294"/>
      <c r="F42" s="294"/>
      <c r="G42" s="294"/>
      <c r="H42" s="294"/>
      <c r="I42" s="294"/>
      <c r="J42" s="4"/>
      <c r="K42" s="4"/>
      <c r="L42" s="4"/>
      <c r="M42" s="110"/>
    </row>
    <row r="43" spans="1:13">
      <c r="A43" s="585"/>
      <c r="B43" s="583"/>
      <c r="C43" s="583"/>
      <c r="D43" s="583"/>
      <c r="E43" s="583"/>
      <c r="F43" s="583"/>
      <c r="G43" s="583"/>
      <c r="H43" s="583"/>
      <c r="I43" s="583"/>
      <c r="J43" s="4"/>
      <c r="K43" s="4"/>
      <c r="L43" s="4"/>
      <c r="M43" s="110"/>
    </row>
    <row r="44" spans="1:13">
      <c r="A44" s="585"/>
      <c r="B44" s="583"/>
      <c r="C44" s="583"/>
      <c r="D44" s="583"/>
      <c r="E44" s="583"/>
      <c r="F44" s="583"/>
      <c r="G44" s="583"/>
      <c r="H44" s="583"/>
      <c r="I44" s="583"/>
      <c r="J44" s="4"/>
      <c r="K44" s="4"/>
      <c r="L44" s="4"/>
      <c r="M44" s="110"/>
    </row>
    <row r="45" spans="1:13">
      <c r="A45" s="109"/>
      <c r="B45" s="4"/>
      <c r="C45" s="4"/>
      <c r="D45" s="4"/>
      <c r="E45" s="4"/>
      <c r="F45" s="4"/>
      <c r="G45" s="4"/>
      <c r="H45" s="4"/>
      <c r="I45" s="4"/>
      <c r="J45" s="4"/>
      <c r="K45" s="4"/>
      <c r="L45" s="4"/>
      <c r="M45" s="110"/>
    </row>
    <row r="46" spans="1:13">
      <c r="A46" s="109"/>
      <c r="B46" s="4"/>
      <c r="C46" s="4"/>
      <c r="D46" s="4"/>
      <c r="E46" s="4"/>
      <c r="F46" s="4"/>
      <c r="G46" s="4"/>
      <c r="H46" s="4"/>
      <c r="I46" s="4"/>
      <c r="J46" s="4"/>
      <c r="K46" s="4"/>
      <c r="L46" s="4"/>
      <c r="M46" s="110"/>
    </row>
    <row r="47" spans="1:13">
      <c r="A47" s="109"/>
      <c r="B47" s="4"/>
      <c r="C47" s="4"/>
      <c r="D47" s="4"/>
      <c r="E47" s="4"/>
      <c r="F47" s="4"/>
      <c r="G47" s="4"/>
      <c r="H47" s="4"/>
      <c r="I47" s="4"/>
      <c r="J47" s="4"/>
      <c r="K47" s="4"/>
      <c r="L47" s="4"/>
      <c r="M47" s="110"/>
    </row>
    <row r="48" spans="1:13">
      <c r="A48" s="109"/>
      <c r="B48" s="4"/>
      <c r="C48" s="4"/>
      <c r="D48" s="4"/>
      <c r="E48" s="4"/>
      <c r="F48" s="4"/>
      <c r="G48" s="4"/>
      <c r="H48" s="4"/>
      <c r="I48" s="4"/>
      <c r="J48" s="4"/>
      <c r="K48" s="4"/>
      <c r="L48" s="4"/>
      <c r="M48" s="110"/>
    </row>
    <row r="49" spans="1:13">
      <c r="A49" s="109"/>
      <c r="B49" s="4"/>
      <c r="C49" s="4"/>
      <c r="D49" s="4"/>
      <c r="E49" s="4"/>
      <c r="F49" s="4"/>
      <c r="G49" s="4"/>
      <c r="H49" s="4"/>
      <c r="I49" s="4"/>
      <c r="J49" s="4"/>
      <c r="K49" s="4"/>
      <c r="L49" s="4"/>
      <c r="M49" s="110"/>
    </row>
    <row r="50" spans="1:13">
      <c r="A50" s="586"/>
      <c r="B50" s="294"/>
      <c r="C50" s="294"/>
      <c r="D50" s="4"/>
      <c r="E50" s="4"/>
      <c r="F50" s="4"/>
      <c r="G50" s="4"/>
      <c r="H50" s="4"/>
      <c r="I50" s="4"/>
      <c r="J50" s="4"/>
      <c r="K50" s="4"/>
      <c r="L50" s="4"/>
      <c r="M50" s="110"/>
    </row>
    <row r="51" spans="1:13">
      <c r="A51" s="585"/>
      <c r="B51" s="583"/>
      <c r="C51" s="583"/>
      <c r="D51" s="4"/>
      <c r="E51" s="4"/>
      <c r="F51" s="4"/>
      <c r="G51" s="4"/>
      <c r="H51" s="4"/>
      <c r="I51" s="4"/>
      <c r="J51" s="4"/>
      <c r="K51" s="4"/>
      <c r="L51" s="4"/>
      <c r="M51" s="110"/>
    </row>
    <row r="52" spans="1:13">
      <c r="A52" s="585"/>
      <c r="B52" s="583"/>
      <c r="C52" s="583"/>
      <c r="D52" s="4"/>
      <c r="E52" s="4"/>
      <c r="F52" s="4"/>
      <c r="G52" s="4"/>
      <c r="H52" s="4"/>
      <c r="I52" s="4"/>
      <c r="J52" s="4"/>
      <c r="K52" s="4"/>
      <c r="L52" s="4"/>
      <c r="M52" s="110"/>
    </row>
    <row r="53" spans="1:13">
      <c r="A53" s="585"/>
      <c r="B53" s="583"/>
      <c r="C53" s="583"/>
      <c r="D53" s="4"/>
      <c r="E53" s="4"/>
      <c r="F53" s="4"/>
      <c r="G53" s="4"/>
      <c r="H53" s="4"/>
      <c r="I53" s="4"/>
      <c r="J53" s="4"/>
      <c r="K53" s="4"/>
      <c r="L53" s="4"/>
      <c r="M53" s="110"/>
    </row>
    <row r="54" spans="1:13">
      <c r="A54" s="585"/>
      <c r="B54" s="583"/>
      <c r="C54" s="583"/>
      <c r="D54" s="4"/>
      <c r="E54" s="4"/>
      <c r="F54" s="4"/>
      <c r="G54" s="4"/>
      <c r="H54" s="4"/>
      <c r="I54" s="4"/>
      <c r="J54" s="4"/>
      <c r="K54" s="4"/>
      <c r="L54" s="4"/>
      <c r="M54" s="110"/>
    </row>
    <row r="55" spans="1:13">
      <c r="A55" s="585"/>
      <c r="B55" s="583"/>
      <c r="C55" s="583"/>
      <c r="D55" s="4"/>
      <c r="E55" s="4"/>
      <c r="F55" s="4"/>
      <c r="G55" s="4"/>
      <c r="H55" s="4"/>
      <c r="I55" s="4"/>
      <c r="J55" s="4"/>
      <c r="K55" s="4"/>
      <c r="L55" s="4"/>
      <c r="M55" s="110"/>
    </row>
    <row r="56" spans="1:13">
      <c r="A56" s="585"/>
      <c r="B56" s="583"/>
      <c r="C56" s="583"/>
      <c r="D56" s="4"/>
      <c r="E56" s="4"/>
      <c r="F56" s="4"/>
      <c r="G56" s="4"/>
      <c r="H56" s="4"/>
      <c r="I56" s="4"/>
      <c r="J56" s="4"/>
      <c r="K56" s="4"/>
      <c r="L56" s="4"/>
      <c r="M56" s="110"/>
    </row>
    <row r="57" spans="1:13">
      <c r="A57" s="585"/>
      <c r="B57" s="583"/>
      <c r="C57" s="583"/>
      <c r="D57" s="4"/>
      <c r="E57" s="4"/>
      <c r="F57" s="4"/>
      <c r="G57" s="4"/>
      <c r="H57" s="4"/>
      <c r="I57" s="4"/>
      <c r="J57" s="4"/>
      <c r="K57" s="4"/>
      <c r="L57" s="4"/>
      <c r="M57" s="110"/>
    </row>
    <row r="58" spans="1:13">
      <c r="A58" s="585"/>
      <c r="B58" s="583"/>
      <c r="C58" s="583"/>
      <c r="D58" s="4"/>
      <c r="E58" s="4"/>
      <c r="F58" s="4"/>
      <c r="G58" s="4"/>
      <c r="H58" s="4"/>
      <c r="I58" s="4"/>
      <c r="J58" s="4"/>
      <c r="K58" s="4"/>
      <c r="L58" s="4"/>
      <c r="M58" s="110"/>
    </row>
    <row r="59" spans="1:13">
      <c r="A59" s="585"/>
      <c r="B59" s="583"/>
      <c r="C59" s="583"/>
      <c r="D59" s="4"/>
      <c r="E59" s="4"/>
      <c r="F59" s="4"/>
      <c r="G59" s="4"/>
      <c r="H59" s="4"/>
      <c r="I59" s="4"/>
      <c r="J59" s="4"/>
      <c r="K59" s="4"/>
      <c r="L59" s="4"/>
      <c r="M59" s="110"/>
    </row>
    <row r="60" spans="1:13">
      <c r="A60" s="109"/>
      <c r="B60" s="4"/>
      <c r="C60" s="4"/>
      <c r="D60" s="4"/>
      <c r="E60" s="4"/>
      <c r="F60" s="4"/>
      <c r="G60" s="4"/>
      <c r="H60" s="4"/>
      <c r="I60" s="4"/>
      <c r="J60" s="4"/>
      <c r="K60" s="4"/>
      <c r="L60" s="4"/>
      <c r="M60" s="110"/>
    </row>
    <row r="61" spans="1:13">
      <c r="A61" s="109"/>
      <c r="B61" s="4"/>
      <c r="C61" s="4"/>
      <c r="D61" s="4"/>
      <c r="E61" s="4"/>
      <c r="F61" s="4"/>
      <c r="G61" s="4"/>
      <c r="H61" s="4"/>
      <c r="I61" s="4"/>
      <c r="J61" s="4"/>
      <c r="K61" s="4"/>
      <c r="L61" s="4"/>
      <c r="M61" s="110"/>
    </row>
    <row r="62" spans="1:13">
      <c r="A62" s="109"/>
      <c r="B62" s="4"/>
      <c r="C62" s="4"/>
      <c r="D62" s="4"/>
      <c r="E62" s="4"/>
      <c r="F62" s="4"/>
      <c r="G62" s="4"/>
      <c r="H62" s="4"/>
      <c r="I62" s="4"/>
      <c r="J62" s="4"/>
      <c r="K62" s="4"/>
      <c r="L62" s="4"/>
      <c r="M62" s="110"/>
    </row>
    <row r="63" spans="1:13">
      <c r="A63" s="109"/>
      <c r="B63" s="4"/>
      <c r="C63" s="4"/>
      <c r="D63" s="4"/>
      <c r="E63" s="4"/>
      <c r="F63" s="4"/>
      <c r="G63" s="4"/>
      <c r="H63" s="4"/>
      <c r="I63" s="4"/>
      <c r="J63" s="4"/>
      <c r="K63" s="4"/>
      <c r="L63" s="4"/>
      <c r="M63" s="110"/>
    </row>
    <row r="64" spans="1:13">
      <c r="A64" s="112"/>
      <c r="B64" s="113"/>
      <c r="C64" s="113"/>
      <c r="D64" s="113"/>
      <c r="E64" s="113"/>
      <c r="F64" s="113"/>
      <c r="G64" s="113"/>
      <c r="H64" s="113"/>
      <c r="I64" s="113"/>
      <c r="J64" s="113"/>
      <c r="K64" s="113"/>
      <c r="L64" s="113"/>
      <c r="M64" s="114"/>
    </row>
  </sheetData>
  <mergeCells count="1">
    <mergeCell ref="A1:M4"/>
  </mergeCells>
  <phoneticPr fontId="26" type="noConversion"/>
  <printOptions horizontalCentered="1" verticalCentered="1"/>
  <pageMargins left="0.25" right="0.25" top="0.41" bottom="0.8125" header="0.17" footer="0.16"/>
  <pageSetup scale="87" fitToHeight="27" orientation="portrait" r:id="rId1"/>
  <headerFooter alignWithMargins="0">
    <oddFooter xml:space="preserve">&amp;L&amp;6&amp;Z&amp;F&amp;CQAI_6012 AAR Mobility PPAP Workbook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pageSetUpPr fitToPage="1"/>
  </sheetPr>
  <dimension ref="A1:AF128"/>
  <sheetViews>
    <sheetView zoomScaleNormal="100" workbookViewId="0">
      <selection activeCell="O21" sqref="O21"/>
    </sheetView>
  </sheetViews>
  <sheetFormatPr defaultColWidth="9.140625" defaultRowHeight="12.75"/>
  <cols>
    <col min="1" max="1" width="7.42578125" style="6" customWidth="1"/>
    <col min="2" max="10" width="6.28515625" style="6" customWidth="1"/>
    <col min="11" max="12" width="10.85546875" style="6" customWidth="1"/>
    <col min="13" max="13" width="10" style="6" customWidth="1"/>
    <col min="14" max="14" width="9.140625" style="160"/>
    <col min="15" max="17" width="6" style="153" customWidth="1"/>
    <col min="18" max="18" width="3" style="160" customWidth="1"/>
    <col min="19" max="21" width="6.28515625" style="160" customWidth="1"/>
    <col min="22" max="22" width="3" style="160" customWidth="1"/>
    <col min="23" max="25" width="6.28515625" style="160" customWidth="1"/>
    <col min="26" max="16384" width="9.140625" style="1"/>
  </cols>
  <sheetData>
    <row r="1" spans="1:25">
      <c r="A1" s="1046" t="s">
        <v>874</v>
      </c>
      <c r="B1" s="1047"/>
      <c r="C1" s="1047"/>
      <c r="D1" s="1047"/>
      <c r="E1" s="1047"/>
      <c r="F1" s="1047"/>
      <c r="G1" s="1047"/>
      <c r="H1" s="1047"/>
      <c r="I1" s="1047"/>
      <c r="J1" s="1047"/>
      <c r="K1" s="1047"/>
      <c r="L1" s="1047"/>
      <c r="M1" s="1048"/>
    </row>
    <row r="2" spans="1:25">
      <c r="A2" s="1049"/>
      <c r="B2" s="1050"/>
      <c r="C2" s="1050"/>
      <c r="D2" s="1050"/>
      <c r="E2" s="1050"/>
      <c r="F2" s="1050"/>
      <c r="G2" s="1050"/>
      <c r="H2" s="1050"/>
      <c r="I2" s="1050"/>
      <c r="J2" s="1050"/>
      <c r="K2" s="1050"/>
      <c r="L2" s="1050"/>
      <c r="M2" s="1051"/>
    </row>
    <row r="3" spans="1:25">
      <c r="A3" s="1049"/>
      <c r="B3" s="1050"/>
      <c r="C3" s="1050"/>
      <c r="D3" s="1050"/>
      <c r="E3" s="1050"/>
      <c r="F3" s="1050"/>
      <c r="G3" s="1050"/>
      <c r="H3" s="1050"/>
      <c r="I3" s="1050"/>
      <c r="J3" s="1050"/>
      <c r="K3" s="1050"/>
      <c r="L3" s="1050"/>
      <c r="M3" s="1051"/>
    </row>
    <row r="4" spans="1:25">
      <c r="A4" s="1049"/>
      <c r="B4" s="1050"/>
      <c r="C4" s="1050"/>
      <c r="D4" s="1050"/>
      <c r="E4" s="1050"/>
      <c r="F4" s="1050"/>
      <c r="G4" s="1050"/>
      <c r="H4" s="1050"/>
      <c r="I4" s="1050"/>
      <c r="J4" s="1050"/>
      <c r="K4" s="1050"/>
      <c r="L4" s="1050"/>
      <c r="M4" s="1051"/>
    </row>
    <row r="5" spans="1:25">
      <c r="A5" s="1049"/>
      <c r="B5" s="1050"/>
      <c r="C5" s="1050"/>
      <c r="D5" s="1050"/>
      <c r="E5" s="1050"/>
      <c r="F5" s="1050"/>
      <c r="G5" s="1050"/>
      <c r="H5" s="1050"/>
      <c r="I5" s="1050"/>
      <c r="J5" s="1050"/>
      <c r="K5" s="1050"/>
      <c r="L5" s="1050"/>
      <c r="M5" s="1051"/>
      <c r="O5" s="584"/>
      <c r="P5" s="584"/>
      <c r="Q5" s="584"/>
    </row>
    <row r="6" spans="1:25">
      <c r="A6" s="1049"/>
      <c r="B6" s="1050"/>
      <c r="C6" s="1050"/>
      <c r="D6" s="1050"/>
      <c r="E6" s="1050"/>
      <c r="F6" s="1050"/>
      <c r="G6" s="1050"/>
      <c r="H6" s="1050"/>
      <c r="I6" s="1050"/>
      <c r="J6" s="1050"/>
      <c r="K6" s="1050"/>
      <c r="L6" s="1050"/>
      <c r="M6" s="1051"/>
      <c r="O6" s="160"/>
      <c r="P6" s="160"/>
      <c r="Q6" s="160"/>
    </row>
    <row r="7" spans="1:25" ht="13.5" thickBot="1">
      <c r="A7" s="846"/>
      <c r="B7" s="847"/>
      <c r="C7" s="847"/>
      <c r="D7" s="847"/>
      <c r="E7" s="847"/>
      <c r="F7" s="847"/>
      <c r="G7" s="847"/>
      <c r="H7" s="847"/>
      <c r="I7" s="847"/>
      <c r="J7" s="847"/>
      <c r="K7" s="847"/>
      <c r="L7" s="847"/>
      <c r="M7" s="848"/>
      <c r="O7" s="160"/>
      <c r="P7" s="160"/>
      <c r="Q7" s="160"/>
    </row>
    <row r="8" spans="1:25">
      <c r="A8" s="1"/>
      <c r="B8" s="1"/>
      <c r="C8" s="1"/>
      <c r="D8" s="1"/>
      <c r="E8" s="1"/>
      <c r="F8" s="1"/>
      <c r="G8" s="1"/>
      <c r="H8" s="1"/>
      <c r="I8" s="1"/>
      <c r="J8" s="1"/>
      <c r="K8" s="1"/>
      <c r="L8" s="1"/>
      <c r="M8" s="1"/>
      <c r="O8" s="160"/>
      <c r="P8" s="160"/>
      <c r="Q8" s="160"/>
    </row>
    <row r="9" spans="1:25" s="160" customFormat="1" ht="11.25">
      <c r="A9" s="161" t="s">
        <v>95</v>
      </c>
      <c r="B9" s="162"/>
      <c r="C9" s="162"/>
      <c r="D9" s="163"/>
      <c r="E9" s="161" t="s">
        <v>371</v>
      </c>
      <c r="F9" s="162"/>
      <c r="G9" s="163"/>
      <c r="H9" s="161" t="s">
        <v>374</v>
      </c>
      <c r="I9" s="162"/>
      <c r="J9" s="163"/>
      <c r="K9" s="161" t="s">
        <v>412</v>
      </c>
      <c r="L9" s="162"/>
      <c r="M9" s="163"/>
    </row>
    <row r="10" spans="1:25" s="255" customFormat="1">
      <c r="A10" s="1011" t="s">
        <v>869</v>
      </c>
      <c r="B10" s="1012"/>
      <c r="C10" s="1012"/>
      <c r="D10" s="254"/>
      <c r="E10" s="170"/>
      <c r="F10" s="253"/>
      <c r="G10" s="254"/>
      <c r="H10" s="170"/>
      <c r="I10" s="253"/>
      <c r="J10" s="254"/>
      <c r="K10" s="170"/>
      <c r="L10" s="253"/>
      <c r="M10" s="254"/>
      <c r="N10" s="295"/>
      <c r="O10" s="295"/>
      <c r="P10" s="295"/>
      <c r="Q10" s="295"/>
      <c r="R10" s="295"/>
      <c r="S10" s="295"/>
      <c r="T10" s="295"/>
      <c r="U10" s="295"/>
      <c r="V10" s="295"/>
      <c r="W10" s="295"/>
      <c r="X10" s="295"/>
      <c r="Y10" s="295"/>
    </row>
    <row r="11" spans="1:25" s="160" customFormat="1" ht="11.25">
      <c r="A11" s="161" t="s">
        <v>93</v>
      </c>
      <c r="B11" s="162"/>
      <c r="C11" s="162"/>
      <c r="D11" s="163"/>
      <c r="E11" s="161" t="s">
        <v>373</v>
      </c>
      <c r="F11" s="162"/>
      <c r="G11" s="163"/>
      <c r="H11" s="257" t="s">
        <v>376</v>
      </c>
      <c r="K11" s="161" t="s">
        <v>413</v>
      </c>
      <c r="L11" s="162"/>
      <c r="M11" s="163"/>
    </row>
    <row r="12" spans="1:25" s="255" customFormat="1">
      <c r="A12" s="256" t="s">
        <v>869</v>
      </c>
      <c r="B12" s="253"/>
      <c r="C12" s="253"/>
      <c r="D12" s="254"/>
      <c r="E12" s="296"/>
      <c r="F12" s="297"/>
      <c r="G12" s="298"/>
      <c r="K12" s="170"/>
      <c r="L12" s="253"/>
      <c r="M12" s="254"/>
      <c r="N12" s="295"/>
      <c r="O12" s="295"/>
      <c r="P12" s="295"/>
      <c r="Q12" s="295"/>
      <c r="R12" s="295"/>
      <c r="S12" s="295"/>
      <c r="T12" s="295"/>
      <c r="U12" s="295"/>
      <c r="V12" s="295"/>
      <c r="W12" s="295"/>
      <c r="X12" s="295"/>
      <c r="Y12" s="295"/>
    </row>
    <row r="13" spans="1:25" s="160" customFormat="1" ht="11.25">
      <c r="A13" s="257" t="s">
        <v>375</v>
      </c>
      <c r="B13" s="258"/>
      <c r="C13" s="258"/>
      <c r="D13" s="258"/>
      <c r="E13" s="257" t="s">
        <v>414</v>
      </c>
      <c r="F13" s="258"/>
      <c r="G13" s="163"/>
      <c r="H13" s="161" t="s">
        <v>415</v>
      </c>
      <c r="I13" s="162"/>
      <c r="J13" s="163"/>
      <c r="K13" s="162" t="s">
        <v>416</v>
      </c>
      <c r="L13" s="162"/>
      <c r="M13" s="163"/>
    </row>
    <row r="14" spans="1:25" s="255" customFormat="1">
      <c r="A14" s="170"/>
      <c r="B14" s="260"/>
      <c r="C14" s="260"/>
      <c r="D14" s="260"/>
      <c r="E14" s="1033"/>
      <c r="F14" s="1034"/>
      <c r="G14" s="1035"/>
      <c r="H14" s="1033"/>
      <c r="I14" s="1034"/>
      <c r="J14" s="1035"/>
      <c r="K14" s="260"/>
      <c r="L14" s="253"/>
      <c r="M14" s="254"/>
      <c r="N14" s="295"/>
      <c r="O14" s="295"/>
      <c r="P14" s="295"/>
      <c r="Q14" s="295"/>
      <c r="R14" s="295"/>
      <c r="S14" s="295"/>
      <c r="T14" s="295"/>
      <c r="U14" s="295"/>
      <c r="V14" s="295"/>
      <c r="W14" s="295"/>
      <c r="X14" s="295"/>
      <c r="Y14" s="295"/>
    </row>
    <row r="15" spans="1:25" s="255" customFormat="1">
      <c r="A15" s="301"/>
      <c r="B15" s="301"/>
      <c r="C15" s="301"/>
      <c r="D15" s="301"/>
      <c r="E15" s="82"/>
      <c r="F15" s="82"/>
      <c r="G15" s="82"/>
      <c r="H15" s="82"/>
      <c r="I15" s="82"/>
      <c r="J15" s="82"/>
      <c r="K15" s="301"/>
      <c r="L15" s="297"/>
      <c r="M15" s="297"/>
      <c r="N15" s="295"/>
      <c r="O15" s="295"/>
      <c r="P15" s="295"/>
      <c r="Q15" s="295"/>
      <c r="R15" s="295"/>
      <c r="S15" s="295"/>
      <c r="T15" s="295"/>
      <c r="U15" s="295"/>
      <c r="V15" s="295"/>
      <c r="W15" s="295"/>
      <c r="X15" s="295"/>
      <c r="Y15" s="295"/>
    </row>
    <row r="16" spans="1:25" ht="15.75">
      <c r="A16" s="1036" t="s">
        <v>417</v>
      </c>
      <c r="B16" s="1036"/>
      <c r="C16" s="1036"/>
      <c r="D16" s="1036"/>
      <c r="E16" s="1036"/>
      <c r="F16" s="1036"/>
      <c r="G16" s="1036"/>
      <c r="H16" s="1036"/>
      <c r="I16" s="1036"/>
      <c r="J16" s="1036"/>
      <c r="K16" s="1036"/>
      <c r="L16" s="1036"/>
      <c r="M16" s="1036"/>
      <c r="O16" s="302" t="s">
        <v>418</v>
      </c>
      <c r="S16" s="302" t="s">
        <v>419</v>
      </c>
      <c r="T16" s="153"/>
      <c r="U16" s="153"/>
      <c r="W16" s="302" t="s">
        <v>420</v>
      </c>
      <c r="X16" s="153"/>
      <c r="Y16" s="153"/>
    </row>
    <row r="17" spans="1:25" ht="25.5">
      <c r="A17" s="303" t="s">
        <v>307</v>
      </c>
      <c r="B17" s="303" t="s">
        <v>421</v>
      </c>
      <c r="C17" s="303" t="s">
        <v>422</v>
      </c>
      <c r="D17" s="303" t="s">
        <v>423</v>
      </c>
      <c r="E17" s="303" t="s">
        <v>424</v>
      </c>
      <c r="F17" s="303" t="s">
        <v>425</v>
      </c>
      <c r="G17" s="303" t="s">
        <v>426</v>
      </c>
      <c r="H17" s="303" t="s">
        <v>427</v>
      </c>
      <c r="I17" s="303" t="s">
        <v>428</v>
      </c>
      <c r="J17" s="303" t="s">
        <v>429</v>
      </c>
      <c r="K17" s="303" t="s">
        <v>430</v>
      </c>
      <c r="L17" s="304" t="s">
        <v>431</v>
      </c>
      <c r="M17" s="303" t="s">
        <v>432</v>
      </c>
      <c r="O17" s="153">
        <v>1</v>
      </c>
      <c r="P17" s="153">
        <v>2</v>
      </c>
      <c r="Q17" s="153">
        <v>3</v>
      </c>
      <c r="S17" s="153">
        <v>1</v>
      </c>
      <c r="T17" s="153">
        <v>2</v>
      </c>
      <c r="U17" s="153">
        <v>3</v>
      </c>
      <c r="W17" s="153">
        <v>1</v>
      </c>
      <c r="X17" s="153">
        <v>2</v>
      </c>
      <c r="Y17" s="153">
        <v>3</v>
      </c>
    </row>
    <row r="18" spans="1:25" s="10" customFormat="1">
      <c r="A18" s="303">
        <v>1</v>
      </c>
      <c r="B18" s="305"/>
      <c r="C18" s="305"/>
      <c r="D18" s="305"/>
      <c r="E18" s="305"/>
      <c r="F18" s="305"/>
      <c r="G18" s="305"/>
      <c r="H18" s="305"/>
      <c r="I18" s="305"/>
      <c r="J18" s="305"/>
      <c r="K18" s="305" t="str">
        <f t="shared" ref="K18:K57" si="0">IF(L18&lt;&gt;"",IF(OR(L18&lt;$H$14,L18&gt;$E$14),0,1),"")</f>
        <v/>
      </c>
      <c r="L18" s="305"/>
      <c r="M18" s="305" t="str">
        <f t="shared" ref="M18:M57" si="1">IF(B18&lt;&gt;"",IF(SUM(B18:J18)=9,"+",IF(SUM(B18:J18)=0,"-","x")),"")</f>
        <v/>
      </c>
      <c r="O18" s="306" t="str">
        <f t="shared" ref="O18:O57" si="2">IF(B18&lt;&gt;"",IF(AND(B18=0,E18=0),"a",IF(AND(B18=1,E18=0),"b",IF(AND(B18=0,E18=1),"c","d"))),"")</f>
        <v/>
      </c>
      <c r="P18" s="306" t="str">
        <f t="shared" ref="P18:P57" si="3">IF(C18&lt;&gt;"",IF(AND(C18=0,F18=0),"a",IF(AND(C18=1,F18=0),"b",IF(AND(C18=0,F18=1),"c","d"))),"")</f>
        <v/>
      </c>
      <c r="Q18" s="306" t="str">
        <f t="shared" ref="Q18:Q57" si="4">IF(D18&lt;&gt;"",IF(AND(D18=0,G18=0),"a",IF(AND(D18=1,G18=0),"b",IF(AND(D18=0,G18=1),"c","d"))),"")</f>
        <v/>
      </c>
      <c r="S18" s="306" t="str">
        <f t="shared" ref="S18:S57" si="5">IF(E18&lt;&gt;"",IF(AND(E18=0,H18=0),"a",IF(AND(E18=1,H18=0),"b",IF(AND(E18=0,H18=1),"c","d"))),"")</f>
        <v/>
      </c>
      <c r="T18" s="306" t="str">
        <f t="shared" ref="T18:T57" si="6">IF(F18&lt;&gt;"",IF(AND(F18=0,I18=0),"a",IF(AND(F18=1,I18=0),"b",IF(AND(F18=0,I18=1),"c","d"))),"")</f>
        <v/>
      </c>
      <c r="U18" s="306" t="str">
        <f t="shared" ref="U18:U57" si="7">IF(G18&lt;&gt;"",IF(AND(G18=0,J18=0),"a",IF(AND(G18=1,J18=0),"b",IF(AND(G18=0,J18=1),"c","d"))),"")</f>
        <v/>
      </c>
      <c r="W18" s="306" t="str">
        <f t="shared" ref="W18:W57" si="8">IF(B18&lt;&gt;"",IF(AND(B18=0,H18=0),"a",IF(AND(B18=1,H18=0),"b",IF(AND(B18=0,H18=1),"c","d"))),"")</f>
        <v/>
      </c>
      <c r="X18" s="306" t="str">
        <f t="shared" ref="X18:X57" si="9">IF(C18&lt;&gt;"",IF(AND(C18=0,I18=0),"a",IF(AND(C18=1,I18=0),"b",IF(AND(C18=0,I18=1),"c","d"))),"")</f>
        <v/>
      </c>
      <c r="Y18" s="306" t="str">
        <f t="shared" ref="Y18:Y57" si="10">IF(D18&lt;&gt;"",IF(AND(D18=0,J18=0),"a",IF(AND(D18=1,J18=0),"b",IF(AND(D18=0,J18=1),"c","d"))),"")</f>
        <v/>
      </c>
    </row>
    <row r="19" spans="1:25" s="10" customFormat="1">
      <c r="A19" s="303">
        <f t="shared" ref="A19:A57" si="11">A18+1</f>
        <v>2</v>
      </c>
      <c r="B19" s="305"/>
      <c r="C19" s="305"/>
      <c r="D19" s="305"/>
      <c r="E19" s="305"/>
      <c r="F19" s="305"/>
      <c r="G19" s="305"/>
      <c r="H19" s="305"/>
      <c r="I19" s="305"/>
      <c r="J19" s="305"/>
      <c r="K19" s="305" t="str">
        <f t="shared" si="0"/>
        <v/>
      </c>
      <c r="L19" s="305"/>
      <c r="M19" s="305" t="str">
        <f t="shared" si="1"/>
        <v/>
      </c>
      <c r="O19" s="306" t="str">
        <f t="shared" si="2"/>
        <v/>
      </c>
      <c r="P19" s="306" t="str">
        <f t="shared" si="3"/>
        <v/>
      </c>
      <c r="Q19" s="306" t="str">
        <f t="shared" si="4"/>
        <v/>
      </c>
      <c r="S19" s="306" t="str">
        <f t="shared" si="5"/>
        <v/>
      </c>
      <c r="T19" s="306" t="str">
        <f t="shared" si="6"/>
        <v/>
      </c>
      <c r="U19" s="306" t="str">
        <f t="shared" si="7"/>
        <v/>
      </c>
      <c r="W19" s="306" t="str">
        <f t="shared" si="8"/>
        <v/>
      </c>
      <c r="X19" s="306" t="str">
        <f t="shared" si="9"/>
        <v/>
      </c>
      <c r="Y19" s="306" t="str">
        <f t="shared" si="10"/>
        <v/>
      </c>
    </row>
    <row r="20" spans="1:25" s="10" customFormat="1">
      <c r="A20" s="303">
        <f t="shared" si="11"/>
        <v>3</v>
      </c>
      <c r="B20" s="305"/>
      <c r="C20" s="305"/>
      <c r="D20" s="305"/>
      <c r="E20" s="305"/>
      <c r="F20" s="305"/>
      <c r="G20" s="305"/>
      <c r="H20" s="305"/>
      <c r="I20" s="305"/>
      <c r="J20" s="305"/>
      <c r="K20" s="305" t="str">
        <f t="shared" si="0"/>
        <v/>
      </c>
      <c r="L20" s="305"/>
      <c r="M20" s="305" t="str">
        <f t="shared" si="1"/>
        <v/>
      </c>
      <c r="O20" s="306" t="str">
        <f t="shared" si="2"/>
        <v/>
      </c>
      <c r="P20" s="306" t="str">
        <f t="shared" si="3"/>
        <v/>
      </c>
      <c r="Q20" s="306" t="str">
        <f t="shared" si="4"/>
        <v/>
      </c>
      <c r="S20" s="306" t="str">
        <f t="shared" si="5"/>
        <v/>
      </c>
      <c r="T20" s="306" t="str">
        <f t="shared" si="6"/>
        <v/>
      </c>
      <c r="U20" s="306" t="str">
        <f t="shared" si="7"/>
        <v/>
      </c>
      <c r="W20" s="306" t="str">
        <f t="shared" si="8"/>
        <v/>
      </c>
      <c r="X20" s="306" t="str">
        <f t="shared" si="9"/>
        <v/>
      </c>
      <c r="Y20" s="306" t="str">
        <f t="shared" si="10"/>
        <v/>
      </c>
    </row>
    <row r="21" spans="1:25" s="10" customFormat="1">
      <c r="A21" s="303">
        <f t="shared" si="11"/>
        <v>4</v>
      </c>
      <c r="B21" s="305"/>
      <c r="C21" s="305"/>
      <c r="D21" s="305"/>
      <c r="E21" s="305"/>
      <c r="F21" s="305"/>
      <c r="G21" s="305"/>
      <c r="H21" s="305"/>
      <c r="I21" s="305"/>
      <c r="J21" s="305"/>
      <c r="K21" s="305" t="str">
        <f t="shared" si="0"/>
        <v/>
      </c>
      <c r="L21" s="305"/>
      <c r="M21" s="305" t="str">
        <f t="shared" si="1"/>
        <v/>
      </c>
      <c r="O21" s="306" t="str">
        <f t="shared" si="2"/>
        <v/>
      </c>
      <c r="P21" s="306" t="str">
        <f t="shared" si="3"/>
        <v/>
      </c>
      <c r="Q21" s="306" t="str">
        <f t="shared" si="4"/>
        <v/>
      </c>
      <c r="S21" s="306" t="str">
        <f t="shared" si="5"/>
        <v/>
      </c>
      <c r="T21" s="306" t="str">
        <f t="shared" si="6"/>
        <v/>
      </c>
      <c r="U21" s="306" t="str">
        <f t="shared" si="7"/>
        <v/>
      </c>
      <c r="W21" s="306" t="str">
        <f t="shared" si="8"/>
        <v/>
      </c>
      <c r="X21" s="306" t="str">
        <f t="shared" si="9"/>
        <v/>
      </c>
      <c r="Y21" s="306" t="str">
        <f t="shared" si="10"/>
        <v/>
      </c>
    </row>
    <row r="22" spans="1:25" s="10" customFormat="1">
      <c r="A22" s="303">
        <f t="shared" si="11"/>
        <v>5</v>
      </c>
      <c r="B22" s="305"/>
      <c r="C22" s="305"/>
      <c r="D22" s="305"/>
      <c r="E22" s="305"/>
      <c r="F22" s="305"/>
      <c r="G22" s="305"/>
      <c r="H22" s="305"/>
      <c r="I22" s="305"/>
      <c r="J22" s="305"/>
      <c r="K22" s="305" t="str">
        <f t="shared" si="0"/>
        <v/>
      </c>
      <c r="L22" s="305"/>
      <c r="M22" s="305" t="str">
        <f t="shared" si="1"/>
        <v/>
      </c>
      <c r="O22" s="306" t="str">
        <f t="shared" si="2"/>
        <v/>
      </c>
      <c r="P22" s="306" t="str">
        <f t="shared" si="3"/>
        <v/>
      </c>
      <c r="Q22" s="306" t="str">
        <f t="shared" si="4"/>
        <v/>
      </c>
      <c r="S22" s="306" t="str">
        <f t="shared" si="5"/>
        <v/>
      </c>
      <c r="T22" s="306" t="str">
        <f t="shared" si="6"/>
        <v/>
      </c>
      <c r="U22" s="306" t="str">
        <f t="shared" si="7"/>
        <v/>
      </c>
      <c r="W22" s="306" t="str">
        <f t="shared" si="8"/>
        <v/>
      </c>
      <c r="X22" s="306" t="str">
        <f t="shared" si="9"/>
        <v/>
      </c>
      <c r="Y22" s="306" t="str">
        <f t="shared" si="10"/>
        <v/>
      </c>
    </row>
    <row r="23" spans="1:25" s="10" customFormat="1">
      <c r="A23" s="303">
        <f t="shared" si="11"/>
        <v>6</v>
      </c>
      <c r="B23" s="305"/>
      <c r="C23" s="305"/>
      <c r="D23" s="305"/>
      <c r="E23" s="305"/>
      <c r="F23" s="305"/>
      <c r="G23" s="305"/>
      <c r="H23" s="305"/>
      <c r="I23" s="305"/>
      <c r="J23" s="305"/>
      <c r="K23" s="305" t="str">
        <f t="shared" si="0"/>
        <v/>
      </c>
      <c r="L23" s="305"/>
      <c r="M23" s="305" t="str">
        <f t="shared" si="1"/>
        <v/>
      </c>
      <c r="O23" s="306" t="str">
        <f t="shared" si="2"/>
        <v/>
      </c>
      <c r="P23" s="306" t="str">
        <f t="shared" si="3"/>
        <v/>
      </c>
      <c r="Q23" s="306" t="str">
        <f t="shared" si="4"/>
        <v/>
      </c>
      <c r="S23" s="306" t="str">
        <f t="shared" si="5"/>
        <v/>
      </c>
      <c r="T23" s="306" t="str">
        <f t="shared" si="6"/>
        <v/>
      </c>
      <c r="U23" s="306" t="str">
        <f t="shared" si="7"/>
        <v/>
      </c>
      <c r="W23" s="306" t="str">
        <f t="shared" si="8"/>
        <v/>
      </c>
      <c r="X23" s="306" t="str">
        <f t="shared" si="9"/>
        <v/>
      </c>
      <c r="Y23" s="306" t="str">
        <f t="shared" si="10"/>
        <v/>
      </c>
    </row>
    <row r="24" spans="1:25" s="10" customFormat="1">
      <c r="A24" s="303">
        <f t="shared" si="11"/>
        <v>7</v>
      </c>
      <c r="B24" s="305"/>
      <c r="C24" s="305"/>
      <c r="D24" s="305"/>
      <c r="E24" s="305"/>
      <c r="F24" s="305"/>
      <c r="G24" s="305"/>
      <c r="H24" s="305"/>
      <c r="I24" s="305"/>
      <c r="J24" s="305"/>
      <c r="K24" s="305" t="str">
        <f t="shared" si="0"/>
        <v/>
      </c>
      <c r="L24" s="305"/>
      <c r="M24" s="305" t="str">
        <f t="shared" si="1"/>
        <v/>
      </c>
      <c r="O24" s="306" t="str">
        <f t="shared" si="2"/>
        <v/>
      </c>
      <c r="P24" s="306" t="str">
        <f t="shared" si="3"/>
        <v/>
      </c>
      <c r="Q24" s="306" t="str">
        <f t="shared" si="4"/>
        <v/>
      </c>
      <c r="S24" s="306" t="str">
        <f t="shared" si="5"/>
        <v/>
      </c>
      <c r="T24" s="306" t="str">
        <f t="shared" si="6"/>
        <v/>
      </c>
      <c r="U24" s="306" t="str">
        <f t="shared" si="7"/>
        <v/>
      </c>
      <c r="W24" s="306" t="str">
        <f t="shared" si="8"/>
        <v/>
      </c>
      <c r="X24" s="306" t="str">
        <f t="shared" si="9"/>
        <v/>
      </c>
      <c r="Y24" s="306" t="str">
        <f t="shared" si="10"/>
        <v/>
      </c>
    </row>
    <row r="25" spans="1:25" s="10" customFormat="1">
      <c r="A25" s="303">
        <f t="shared" si="11"/>
        <v>8</v>
      </c>
      <c r="B25" s="305"/>
      <c r="C25" s="305"/>
      <c r="D25" s="305"/>
      <c r="E25" s="305"/>
      <c r="F25" s="305"/>
      <c r="G25" s="305"/>
      <c r="H25" s="305"/>
      <c r="I25" s="305"/>
      <c r="J25" s="305"/>
      <c r="K25" s="305" t="str">
        <f t="shared" si="0"/>
        <v/>
      </c>
      <c r="L25" s="305"/>
      <c r="M25" s="305" t="str">
        <f t="shared" si="1"/>
        <v/>
      </c>
      <c r="O25" s="306" t="str">
        <f t="shared" si="2"/>
        <v/>
      </c>
      <c r="P25" s="306" t="str">
        <f t="shared" si="3"/>
        <v/>
      </c>
      <c r="Q25" s="306" t="str">
        <f t="shared" si="4"/>
        <v/>
      </c>
      <c r="S25" s="306" t="str">
        <f t="shared" si="5"/>
        <v/>
      </c>
      <c r="T25" s="306" t="str">
        <f t="shared" si="6"/>
        <v/>
      </c>
      <c r="U25" s="306" t="str">
        <f t="shared" si="7"/>
        <v/>
      </c>
      <c r="W25" s="306" t="str">
        <f t="shared" si="8"/>
        <v/>
      </c>
      <c r="X25" s="306" t="str">
        <f t="shared" si="9"/>
        <v/>
      </c>
      <c r="Y25" s="306" t="str">
        <f t="shared" si="10"/>
        <v/>
      </c>
    </row>
    <row r="26" spans="1:25" s="10" customFormat="1">
      <c r="A26" s="303">
        <f t="shared" si="11"/>
        <v>9</v>
      </c>
      <c r="B26" s="305"/>
      <c r="C26" s="305"/>
      <c r="D26" s="305"/>
      <c r="E26" s="305"/>
      <c r="F26" s="305"/>
      <c r="G26" s="305"/>
      <c r="H26" s="305"/>
      <c r="I26" s="305"/>
      <c r="J26" s="305"/>
      <c r="K26" s="305" t="str">
        <f t="shared" si="0"/>
        <v/>
      </c>
      <c r="L26" s="305"/>
      <c r="M26" s="305" t="str">
        <f t="shared" si="1"/>
        <v/>
      </c>
      <c r="O26" s="306" t="str">
        <f t="shared" si="2"/>
        <v/>
      </c>
      <c r="P26" s="306" t="str">
        <f t="shared" si="3"/>
        <v/>
      </c>
      <c r="Q26" s="306" t="str">
        <f t="shared" si="4"/>
        <v/>
      </c>
      <c r="S26" s="306" t="str">
        <f t="shared" si="5"/>
        <v/>
      </c>
      <c r="T26" s="306" t="str">
        <f t="shared" si="6"/>
        <v/>
      </c>
      <c r="U26" s="306" t="str">
        <f t="shared" si="7"/>
        <v/>
      </c>
      <c r="W26" s="306" t="str">
        <f t="shared" si="8"/>
        <v/>
      </c>
      <c r="X26" s="306" t="str">
        <f t="shared" si="9"/>
        <v/>
      </c>
      <c r="Y26" s="306" t="str">
        <f t="shared" si="10"/>
        <v/>
      </c>
    </row>
    <row r="27" spans="1:25" s="10" customFormat="1">
      <c r="A27" s="303">
        <f t="shared" si="11"/>
        <v>10</v>
      </c>
      <c r="B27" s="305"/>
      <c r="C27" s="305"/>
      <c r="D27" s="305"/>
      <c r="E27" s="305"/>
      <c r="F27" s="305"/>
      <c r="G27" s="305"/>
      <c r="H27" s="305"/>
      <c r="I27" s="305"/>
      <c r="J27" s="305"/>
      <c r="K27" s="305" t="str">
        <f t="shared" si="0"/>
        <v/>
      </c>
      <c r="L27" s="305"/>
      <c r="M27" s="305" t="str">
        <f t="shared" si="1"/>
        <v/>
      </c>
      <c r="O27" s="306" t="str">
        <f t="shared" si="2"/>
        <v/>
      </c>
      <c r="P27" s="306" t="str">
        <f t="shared" si="3"/>
        <v/>
      </c>
      <c r="Q27" s="306" t="str">
        <f t="shared" si="4"/>
        <v/>
      </c>
      <c r="S27" s="306" t="str">
        <f t="shared" si="5"/>
        <v/>
      </c>
      <c r="T27" s="306" t="str">
        <f t="shared" si="6"/>
        <v/>
      </c>
      <c r="U27" s="306" t="str">
        <f t="shared" si="7"/>
        <v/>
      </c>
      <c r="W27" s="306" t="str">
        <f t="shared" si="8"/>
        <v/>
      </c>
      <c r="X27" s="306" t="str">
        <f t="shared" si="9"/>
        <v/>
      </c>
      <c r="Y27" s="306" t="str">
        <f t="shared" si="10"/>
        <v/>
      </c>
    </row>
    <row r="28" spans="1:25" s="10" customFormat="1">
      <c r="A28" s="303">
        <f t="shared" si="11"/>
        <v>11</v>
      </c>
      <c r="B28" s="305"/>
      <c r="C28" s="305"/>
      <c r="D28" s="305"/>
      <c r="E28" s="305"/>
      <c r="F28" s="305"/>
      <c r="G28" s="305"/>
      <c r="H28" s="305"/>
      <c r="I28" s="305"/>
      <c r="J28" s="305"/>
      <c r="K28" s="305" t="str">
        <f t="shared" si="0"/>
        <v/>
      </c>
      <c r="L28" s="305"/>
      <c r="M28" s="305" t="str">
        <f t="shared" si="1"/>
        <v/>
      </c>
      <c r="O28" s="306" t="str">
        <f t="shared" si="2"/>
        <v/>
      </c>
      <c r="P28" s="306" t="str">
        <f t="shared" si="3"/>
        <v/>
      </c>
      <c r="Q28" s="306" t="str">
        <f t="shared" si="4"/>
        <v/>
      </c>
      <c r="S28" s="306" t="str">
        <f t="shared" si="5"/>
        <v/>
      </c>
      <c r="T28" s="306" t="str">
        <f t="shared" si="6"/>
        <v/>
      </c>
      <c r="U28" s="306" t="str">
        <f t="shared" si="7"/>
        <v/>
      </c>
      <c r="W28" s="306" t="str">
        <f t="shared" si="8"/>
        <v/>
      </c>
      <c r="X28" s="306" t="str">
        <f t="shared" si="9"/>
        <v/>
      </c>
      <c r="Y28" s="306" t="str">
        <f t="shared" si="10"/>
        <v/>
      </c>
    </row>
    <row r="29" spans="1:25" s="10" customFormat="1">
      <c r="A29" s="303">
        <f t="shared" si="11"/>
        <v>12</v>
      </c>
      <c r="B29" s="305"/>
      <c r="C29" s="305"/>
      <c r="D29" s="305"/>
      <c r="E29" s="305"/>
      <c r="F29" s="305"/>
      <c r="G29" s="305"/>
      <c r="H29" s="305"/>
      <c r="I29" s="305"/>
      <c r="J29" s="305"/>
      <c r="K29" s="305" t="str">
        <f t="shared" si="0"/>
        <v/>
      </c>
      <c r="L29" s="305"/>
      <c r="M29" s="305" t="str">
        <f t="shared" si="1"/>
        <v/>
      </c>
      <c r="O29" s="306" t="str">
        <f t="shared" si="2"/>
        <v/>
      </c>
      <c r="P29" s="306" t="str">
        <f t="shared" si="3"/>
        <v/>
      </c>
      <c r="Q29" s="306" t="str">
        <f t="shared" si="4"/>
        <v/>
      </c>
      <c r="S29" s="306" t="str">
        <f t="shared" si="5"/>
        <v/>
      </c>
      <c r="T29" s="306" t="str">
        <f t="shared" si="6"/>
        <v/>
      </c>
      <c r="U29" s="306" t="str">
        <f t="shared" si="7"/>
        <v/>
      </c>
      <c r="W29" s="306" t="str">
        <f t="shared" si="8"/>
        <v/>
      </c>
      <c r="X29" s="306" t="str">
        <f t="shared" si="9"/>
        <v/>
      </c>
      <c r="Y29" s="306" t="str">
        <f t="shared" si="10"/>
        <v/>
      </c>
    </row>
    <row r="30" spans="1:25" s="10" customFormat="1">
      <c r="A30" s="303">
        <f t="shared" si="11"/>
        <v>13</v>
      </c>
      <c r="B30" s="305"/>
      <c r="C30" s="305"/>
      <c r="D30" s="305"/>
      <c r="E30" s="305"/>
      <c r="F30" s="305"/>
      <c r="G30" s="305"/>
      <c r="H30" s="305"/>
      <c r="I30" s="305"/>
      <c r="J30" s="305"/>
      <c r="K30" s="305" t="str">
        <f t="shared" si="0"/>
        <v/>
      </c>
      <c r="L30" s="305"/>
      <c r="M30" s="305" t="str">
        <f t="shared" si="1"/>
        <v/>
      </c>
      <c r="O30" s="306" t="str">
        <f t="shared" si="2"/>
        <v/>
      </c>
      <c r="P30" s="306" t="str">
        <f t="shared" si="3"/>
        <v/>
      </c>
      <c r="Q30" s="306" t="str">
        <f t="shared" si="4"/>
        <v/>
      </c>
      <c r="S30" s="306" t="str">
        <f t="shared" si="5"/>
        <v/>
      </c>
      <c r="T30" s="306" t="str">
        <f t="shared" si="6"/>
        <v/>
      </c>
      <c r="U30" s="306" t="str">
        <f t="shared" si="7"/>
        <v/>
      </c>
      <c r="W30" s="306" t="str">
        <f t="shared" si="8"/>
        <v/>
      </c>
      <c r="X30" s="306" t="str">
        <f t="shared" si="9"/>
        <v/>
      </c>
      <c r="Y30" s="306" t="str">
        <f t="shared" si="10"/>
        <v/>
      </c>
    </row>
    <row r="31" spans="1:25" s="10" customFormat="1">
      <c r="A31" s="303">
        <f t="shared" si="11"/>
        <v>14</v>
      </c>
      <c r="B31" s="305"/>
      <c r="C31" s="305"/>
      <c r="D31" s="305"/>
      <c r="E31" s="305"/>
      <c r="F31" s="305"/>
      <c r="G31" s="305"/>
      <c r="H31" s="305"/>
      <c r="I31" s="305"/>
      <c r="J31" s="305"/>
      <c r="K31" s="305" t="str">
        <f t="shared" si="0"/>
        <v/>
      </c>
      <c r="L31" s="305"/>
      <c r="M31" s="305" t="str">
        <f t="shared" si="1"/>
        <v/>
      </c>
      <c r="O31" s="306" t="str">
        <f t="shared" si="2"/>
        <v/>
      </c>
      <c r="P31" s="306" t="str">
        <f t="shared" si="3"/>
        <v/>
      </c>
      <c r="Q31" s="306" t="str">
        <f t="shared" si="4"/>
        <v/>
      </c>
      <c r="S31" s="306" t="str">
        <f t="shared" si="5"/>
        <v/>
      </c>
      <c r="T31" s="306" t="str">
        <f t="shared" si="6"/>
        <v/>
      </c>
      <c r="U31" s="306" t="str">
        <f t="shared" si="7"/>
        <v/>
      </c>
      <c r="W31" s="306" t="str">
        <f t="shared" si="8"/>
        <v/>
      </c>
      <c r="X31" s="306" t="str">
        <f t="shared" si="9"/>
        <v/>
      </c>
      <c r="Y31" s="306" t="str">
        <f t="shared" si="10"/>
        <v/>
      </c>
    </row>
    <row r="32" spans="1:25" s="10" customFormat="1">
      <c r="A32" s="303">
        <f t="shared" si="11"/>
        <v>15</v>
      </c>
      <c r="B32" s="305"/>
      <c r="C32" s="305"/>
      <c r="D32" s="305"/>
      <c r="E32" s="305"/>
      <c r="F32" s="305"/>
      <c r="G32" s="305"/>
      <c r="H32" s="305"/>
      <c r="I32" s="305"/>
      <c r="J32" s="305"/>
      <c r="K32" s="305" t="str">
        <f t="shared" si="0"/>
        <v/>
      </c>
      <c r="L32" s="305"/>
      <c r="M32" s="305" t="str">
        <f t="shared" si="1"/>
        <v/>
      </c>
      <c r="O32" s="306" t="str">
        <f t="shared" si="2"/>
        <v/>
      </c>
      <c r="P32" s="306" t="str">
        <f t="shared" si="3"/>
        <v/>
      </c>
      <c r="Q32" s="306" t="str">
        <f t="shared" si="4"/>
        <v/>
      </c>
      <c r="S32" s="306" t="str">
        <f t="shared" si="5"/>
        <v/>
      </c>
      <c r="T32" s="306" t="str">
        <f t="shared" si="6"/>
        <v/>
      </c>
      <c r="U32" s="306" t="str">
        <f t="shared" si="7"/>
        <v/>
      </c>
      <c r="W32" s="306" t="str">
        <f t="shared" si="8"/>
        <v/>
      </c>
      <c r="X32" s="306" t="str">
        <f t="shared" si="9"/>
        <v/>
      </c>
      <c r="Y32" s="306" t="str">
        <f t="shared" si="10"/>
        <v/>
      </c>
    </row>
    <row r="33" spans="1:25" s="10" customFormat="1">
      <c r="A33" s="303">
        <f t="shared" si="11"/>
        <v>16</v>
      </c>
      <c r="B33" s="305"/>
      <c r="C33" s="305"/>
      <c r="D33" s="305"/>
      <c r="E33" s="305"/>
      <c r="F33" s="305"/>
      <c r="G33" s="305"/>
      <c r="H33" s="305"/>
      <c r="I33" s="305"/>
      <c r="J33" s="305"/>
      <c r="K33" s="305" t="str">
        <f t="shared" si="0"/>
        <v/>
      </c>
      <c r="L33" s="305"/>
      <c r="M33" s="305" t="str">
        <f t="shared" si="1"/>
        <v/>
      </c>
      <c r="O33" s="306" t="str">
        <f t="shared" si="2"/>
        <v/>
      </c>
      <c r="P33" s="306" t="str">
        <f t="shared" si="3"/>
        <v/>
      </c>
      <c r="Q33" s="306" t="str">
        <f t="shared" si="4"/>
        <v/>
      </c>
      <c r="S33" s="306" t="str">
        <f t="shared" si="5"/>
        <v/>
      </c>
      <c r="T33" s="306" t="str">
        <f t="shared" si="6"/>
        <v/>
      </c>
      <c r="U33" s="306" t="str">
        <f t="shared" si="7"/>
        <v/>
      </c>
      <c r="W33" s="306" t="str">
        <f t="shared" si="8"/>
        <v/>
      </c>
      <c r="X33" s="306" t="str">
        <f t="shared" si="9"/>
        <v/>
      </c>
      <c r="Y33" s="306" t="str">
        <f t="shared" si="10"/>
        <v/>
      </c>
    </row>
    <row r="34" spans="1:25" s="10" customFormat="1">
      <c r="A34" s="303">
        <f t="shared" si="11"/>
        <v>17</v>
      </c>
      <c r="B34" s="305"/>
      <c r="C34" s="305"/>
      <c r="D34" s="305"/>
      <c r="E34" s="305"/>
      <c r="F34" s="305"/>
      <c r="G34" s="305"/>
      <c r="H34" s="305"/>
      <c r="I34" s="305"/>
      <c r="J34" s="305"/>
      <c r="K34" s="305" t="str">
        <f t="shared" si="0"/>
        <v/>
      </c>
      <c r="L34" s="305"/>
      <c r="M34" s="305" t="str">
        <f t="shared" si="1"/>
        <v/>
      </c>
      <c r="O34" s="306" t="str">
        <f t="shared" si="2"/>
        <v/>
      </c>
      <c r="P34" s="306" t="str">
        <f t="shared" si="3"/>
        <v/>
      </c>
      <c r="Q34" s="306" t="str">
        <f t="shared" si="4"/>
        <v/>
      </c>
      <c r="S34" s="306" t="str">
        <f t="shared" si="5"/>
        <v/>
      </c>
      <c r="T34" s="306" t="str">
        <f t="shared" si="6"/>
        <v/>
      </c>
      <c r="U34" s="306" t="str">
        <f t="shared" si="7"/>
        <v/>
      </c>
      <c r="W34" s="306" t="str">
        <f t="shared" si="8"/>
        <v/>
      </c>
      <c r="X34" s="306" t="str">
        <f t="shared" si="9"/>
        <v/>
      </c>
      <c r="Y34" s="306" t="str">
        <f t="shared" si="10"/>
        <v/>
      </c>
    </row>
    <row r="35" spans="1:25" s="10" customFormat="1">
      <c r="A35" s="303">
        <f t="shared" si="11"/>
        <v>18</v>
      </c>
      <c r="B35" s="305"/>
      <c r="C35" s="305"/>
      <c r="D35" s="305"/>
      <c r="E35" s="305"/>
      <c r="F35" s="305"/>
      <c r="G35" s="305"/>
      <c r="H35" s="305"/>
      <c r="I35" s="305"/>
      <c r="J35" s="305"/>
      <c r="K35" s="305" t="str">
        <f t="shared" si="0"/>
        <v/>
      </c>
      <c r="L35" s="305"/>
      <c r="M35" s="305" t="str">
        <f t="shared" si="1"/>
        <v/>
      </c>
      <c r="O35" s="306" t="str">
        <f t="shared" si="2"/>
        <v/>
      </c>
      <c r="P35" s="306" t="str">
        <f t="shared" si="3"/>
        <v/>
      </c>
      <c r="Q35" s="306" t="str">
        <f t="shared" si="4"/>
        <v/>
      </c>
      <c r="S35" s="306" t="str">
        <f t="shared" si="5"/>
        <v/>
      </c>
      <c r="T35" s="306" t="str">
        <f t="shared" si="6"/>
        <v/>
      </c>
      <c r="U35" s="306" t="str">
        <f t="shared" si="7"/>
        <v/>
      </c>
      <c r="W35" s="306" t="str">
        <f t="shared" si="8"/>
        <v/>
      </c>
      <c r="X35" s="306" t="str">
        <f t="shared" si="9"/>
        <v/>
      </c>
      <c r="Y35" s="306" t="str">
        <f t="shared" si="10"/>
        <v/>
      </c>
    </row>
    <row r="36" spans="1:25" s="10" customFormat="1">
      <c r="A36" s="303">
        <f t="shared" si="11"/>
        <v>19</v>
      </c>
      <c r="B36" s="305"/>
      <c r="C36" s="305"/>
      <c r="D36" s="305"/>
      <c r="E36" s="305"/>
      <c r="F36" s="305"/>
      <c r="G36" s="305"/>
      <c r="H36" s="305"/>
      <c r="I36" s="305"/>
      <c r="J36" s="305"/>
      <c r="K36" s="305" t="str">
        <f t="shared" si="0"/>
        <v/>
      </c>
      <c r="L36" s="305"/>
      <c r="M36" s="305" t="str">
        <f t="shared" si="1"/>
        <v/>
      </c>
      <c r="O36" s="306" t="str">
        <f t="shared" si="2"/>
        <v/>
      </c>
      <c r="P36" s="306" t="str">
        <f t="shared" si="3"/>
        <v/>
      </c>
      <c r="Q36" s="306" t="str">
        <f t="shared" si="4"/>
        <v/>
      </c>
      <c r="S36" s="306" t="str">
        <f t="shared" si="5"/>
        <v/>
      </c>
      <c r="T36" s="306" t="str">
        <f t="shared" si="6"/>
        <v/>
      </c>
      <c r="U36" s="306" t="str">
        <f t="shared" si="7"/>
        <v/>
      </c>
      <c r="W36" s="306" t="str">
        <f t="shared" si="8"/>
        <v/>
      </c>
      <c r="X36" s="306" t="str">
        <f t="shared" si="9"/>
        <v/>
      </c>
      <c r="Y36" s="306" t="str">
        <f t="shared" si="10"/>
        <v/>
      </c>
    </row>
    <row r="37" spans="1:25" s="10" customFormat="1">
      <c r="A37" s="303">
        <f t="shared" si="11"/>
        <v>20</v>
      </c>
      <c r="B37" s="305"/>
      <c r="C37" s="305"/>
      <c r="D37" s="305"/>
      <c r="E37" s="305"/>
      <c r="F37" s="305"/>
      <c r="G37" s="305"/>
      <c r="H37" s="305"/>
      <c r="I37" s="305"/>
      <c r="J37" s="305"/>
      <c r="K37" s="305" t="str">
        <f t="shared" si="0"/>
        <v/>
      </c>
      <c r="L37" s="305"/>
      <c r="M37" s="305" t="str">
        <f t="shared" si="1"/>
        <v/>
      </c>
      <c r="O37" s="306" t="str">
        <f t="shared" si="2"/>
        <v/>
      </c>
      <c r="P37" s="306" t="str">
        <f t="shared" si="3"/>
        <v/>
      </c>
      <c r="Q37" s="306" t="str">
        <f t="shared" si="4"/>
        <v/>
      </c>
      <c r="S37" s="306" t="str">
        <f t="shared" si="5"/>
        <v/>
      </c>
      <c r="T37" s="306" t="str">
        <f t="shared" si="6"/>
        <v/>
      </c>
      <c r="U37" s="306" t="str">
        <f t="shared" si="7"/>
        <v/>
      </c>
      <c r="W37" s="306" t="str">
        <f t="shared" si="8"/>
        <v/>
      </c>
      <c r="X37" s="306" t="str">
        <f t="shared" si="9"/>
        <v/>
      </c>
      <c r="Y37" s="306" t="str">
        <f t="shared" si="10"/>
        <v/>
      </c>
    </row>
    <row r="38" spans="1:25" s="10" customFormat="1">
      <c r="A38" s="303">
        <f t="shared" si="11"/>
        <v>21</v>
      </c>
      <c r="B38" s="305"/>
      <c r="C38" s="305"/>
      <c r="D38" s="305"/>
      <c r="E38" s="305"/>
      <c r="F38" s="305"/>
      <c r="G38" s="305"/>
      <c r="H38" s="305"/>
      <c r="I38" s="305"/>
      <c r="J38" s="305"/>
      <c r="K38" s="305" t="str">
        <f t="shared" si="0"/>
        <v/>
      </c>
      <c r="L38" s="305"/>
      <c r="M38" s="305" t="str">
        <f t="shared" si="1"/>
        <v/>
      </c>
      <c r="O38" s="306" t="str">
        <f t="shared" si="2"/>
        <v/>
      </c>
      <c r="P38" s="306" t="str">
        <f t="shared" si="3"/>
        <v/>
      </c>
      <c r="Q38" s="306" t="str">
        <f t="shared" si="4"/>
        <v/>
      </c>
      <c r="S38" s="306" t="str">
        <f t="shared" si="5"/>
        <v/>
      </c>
      <c r="T38" s="306" t="str">
        <f t="shared" si="6"/>
        <v/>
      </c>
      <c r="U38" s="306" t="str">
        <f t="shared" si="7"/>
        <v/>
      </c>
      <c r="W38" s="306" t="str">
        <f t="shared" si="8"/>
        <v/>
      </c>
      <c r="X38" s="306" t="str">
        <f t="shared" si="9"/>
        <v/>
      </c>
      <c r="Y38" s="306" t="str">
        <f t="shared" si="10"/>
        <v/>
      </c>
    </row>
    <row r="39" spans="1:25" s="10" customFormat="1">
      <c r="A39" s="303">
        <f t="shared" si="11"/>
        <v>22</v>
      </c>
      <c r="B39" s="305"/>
      <c r="C39" s="305"/>
      <c r="D39" s="305"/>
      <c r="E39" s="305"/>
      <c r="F39" s="305"/>
      <c r="G39" s="305"/>
      <c r="H39" s="305"/>
      <c r="I39" s="305"/>
      <c r="J39" s="305"/>
      <c r="K39" s="305" t="str">
        <f t="shared" si="0"/>
        <v/>
      </c>
      <c r="L39" s="305"/>
      <c r="M39" s="305" t="str">
        <f t="shared" si="1"/>
        <v/>
      </c>
      <c r="O39" s="306" t="str">
        <f t="shared" si="2"/>
        <v/>
      </c>
      <c r="P39" s="306" t="str">
        <f t="shared" si="3"/>
        <v/>
      </c>
      <c r="Q39" s="306" t="str">
        <f t="shared" si="4"/>
        <v/>
      </c>
      <c r="S39" s="306" t="str">
        <f t="shared" si="5"/>
        <v/>
      </c>
      <c r="T39" s="306" t="str">
        <f t="shared" si="6"/>
        <v/>
      </c>
      <c r="U39" s="306" t="str">
        <f t="shared" si="7"/>
        <v/>
      </c>
      <c r="W39" s="306" t="str">
        <f t="shared" si="8"/>
        <v/>
      </c>
      <c r="X39" s="306" t="str">
        <f t="shared" si="9"/>
        <v/>
      </c>
      <c r="Y39" s="306" t="str">
        <f t="shared" si="10"/>
        <v/>
      </c>
    </row>
    <row r="40" spans="1:25" s="10" customFormat="1">
      <c r="A40" s="303">
        <f t="shared" si="11"/>
        <v>23</v>
      </c>
      <c r="B40" s="305"/>
      <c r="C40" s="305"/>
      <c r="D40" s="305"/>
      <c r="E40" s="305"/>
      <c r="F40" s="305"/>
      <c r="G40" s="305"/>
      <c r="H40" s="305"/>
      <c r="I40" s="305"/>
      <c r="J40" s="305"/>
      <c r="K40" s="305" t="str">
        <f t="shared" si="0"/>
        <v/>
      </c>
      <c r="L40" s="305"/>
      <c r="M40" s="305" t="str">
        <f t="shared" si="1"/>
        <v/>
      </c>
      <c r="O40" s="306" t="str">
        <f t="shared" si="2"/>
        <v/>
      </c>
      <c r="P40" s="306" t="str">
        <f t="shared" si="3"/>
        <v/>
      </c>
      <c r="Q40" s="306" t="str">
        <f t="shared" si="4"/>
        <v/>
      </c>
      <c r="S40" s="306" t="str">
        <f t="shared" si="5"/>
        <v/>
      </c>
      <c r="T40" s="306" t="str">
        <f t="shared" si="6"/>
        <v/>
      </c>
      <c r="U40" s="306" t="str">
        <f t="shared" si="7"/>
        <v/>
      </c>
      <c r="W40" s="306" t="str">
        <f t="shared" si="8"/>
        <v/>
      </c>
      <c r="X40" s="306" t="str">
        <f t="shared" si="9"/>
        <v/>
      </c>
      <c r="Y40" s="306" t="str">
        <f t="shared" si="10"/>
        <v/>
      </c>
    </row>
    <row r="41" spans="1:25" s="10" customFormat="1">
      <c r="A41" s="303">
        <f t="shared" si="11"/>
        <v>24</v>
      </c>
      <c r="B41" s="305"/>
      <c r="C41" s="305"/>
      <c r="D41" s="305"/>
      <c r="E41" s="305"/>
      <c r="F41" s="305"/>
      <c r="G41" s="305"/>
      <c r="H41" s="305"/>
      <c r="I41" s="305"/>
      <c r="J41" s="305"/>
      <c r="K41" s="305" t="str">
        <f t="shared" si="0"/>
        <v/>
      </c>
      <c r="L41" s="305"/>
      <c r="M41" s="305" t="str">
        <f t="shared" si="1"/>
        <v/>
      </c>
      <c r="O41" s="306" t="str">
        <f t="shared" si="2"/>
        <v/>
      </c>
      <c r="P41" s="306" t="str">
        <f t="shared" si="3"/>
        <v/>
      </c>
      <c r="Q41" s="306" t="str">
        <f t="shared" si="4"/>
        <v/>
      </c>
      <c r="S41" s="306" t="str">
        <f t="shared" si="5"/>
        <v/>
      </c>
      <c r="T41" s="306" t="str">
        <f t="shared" si="6"/>
        <v/>
      </c>
      <c r="U41" s="306" t="str">
        <f t="shared" si="7"/>
        <v/>
      </c>
      <c r="W41" s="306" t="str">
        <f t="shared" si="8"/>
        <v/>
      </c>
      <c r="X41" s="306" t="str">
        <f t="shared" si="9"/>
        <v/>
      </c>
      <c r="Y41" s="306" t="str">
        <f t="shared" si="10"/>
        <v/>
      </c>
    </row>
    <row r="42" spans="1:25" s="10" customFormat="1">
      <c r="A42" s="303">
        <f t="shared" si="11"/>
        <v>25</v>
      </c>
      <c r="B42" s="305"/>
      <c r="C42" s="305"/>
      <c r="D42" s="305"/>
      <c r="E42" s="305"/>
      <c r="F42" s="305"/>
      <c r="G42" s="305"/>
      <c r="H42" s="305"/>
      <c r="I42" s="305"/>
      <c r="J42" s="305"/>
      <c r="K42" s="305" t="str">
        <f t="shared" si="0"/>
        <v/>
      </c>
      <c r="L42" s="305"/>
      <c r="M42" s="305" t="str">
        <f t="shared" si="1"/>
        <v/>
      </c>
      <c r="O42" s="306" t="str">
        <f t="shared" si="2"/>
        <v/>
      </c>
      <c r="P42" s="306" t="str">
        <f t="shared" si="3"/>
        <v/>
      </c>
      <c r="Q42" s="306" t="str">
        <f t="shared" si="4"/>
        <v/>
      </c>
      <c r="S42" s="306" t="str">
        <f t="shared" si="5"/>
        <v/>
      </c>
      <c r="T42" s="306" t="str">
        <f t="shared" si="6"/>
        <v/>
      </c>
      <c r="U42" s="306" t="str">
        <f t="shared" si="7"/>
        <v/>
      </c>
      <c r="W42" s="306" t="str">
        <f t="shared" si="8"/>
        <v/>
      </c>
      <c r="X42" s="306" t="str">
        <f t="shared" si="9"/>
        <v/>
      </c>
      <c r="Y42" s="306" t="str">
        <f t="shared" si="10"/>
        <v/>
      </c>
    </row>
    <row r="43" spans="1:25" s="10" customFormat="1">
      <c r="A43" s="303">
        <f t="shared" si="11"/>
        <v>26</v>
      </c>
      <c r="B43" s="305"/>
      <c r="C43" s="305"/>
      <c r="D43" s="305"/>
      <c r="E43" s="305"/>
      <c r="F43" s="305"/>
      <c r="G43" s="305"/>
      <c r="H43" s="305"/>
      <c r="I43" s="305"/>
      <c r="J43" s="305"/>
      <c r="K43" s="305" t="str">
        <f t="shared" si="0"/>
        <v/>
      </c>
      <c r="L43" s="305"/>
      <c r="M43" s="305" t="str">
        <f t="shared" si="1"/>
        <v/>
      </c>
      <c r="O43" s="306" t="str">
        <f t="shared" si="2"/>
        <v/>
      </c>
      <c r="P43" s="306" t="str">
        <f t="shared" si="3"/>
        <v/>
      </c>
      <c r="Q43" s="306" t="str">
        <f t="shared" si="4"/>
        <v/>
      </c>
      <c r="S43" s="306" t="str">
        <f t="shared" si="5"/>
        <v/>
      </c>
      <c r="T43" s="306" t="str">
        <f t="shared" si="6"/>
        <v/>
      </c>
      <c r="U43" s="306" t="str">
        <f t="shared" si="7"/>
        <v/>
      </c>
      <c r="W43" s="306" t="str">
        <f t="shared" si="8"/>
        <v/>
      </c>
      <c r="X43" s="306" t="str">
        <f t="shared" si="9"/>
        <v/>
      </c>
      <c r="Y43" s="306" t="str">
        <f t="shared" si="10"/>
        <v/>
      </c>
    </row>
    <row r="44" spans="1:25" s="10" customFormat="1">
      <c r="A44" s="303">
        <f t="shared" si="11"/>
        <v>27</v>
      </c>
      <c r="B44" s="305"/>
      <c r="C44" s="305"/>
      <c r="D44" s="305"/>
      <c r="E44" s="305"/>
      <c r="F44" s="305"/>
      <c r="G44" s="305"/>
      <c r="H44" s="305"/>
      <c r="I44" s="305"/>
      <c r="J44" s="305"/>
      <c r="K44" s="305" t="str">
        <f t="shared" si="0"/>
        <v/>
      </c>
      <c r="L44" s="305"/>
      <c r="M44" s="305" t="str">
        <f t="shared" si="1"/>
        <v/>
      </c>
      <c r="O44" s="306" t="str">
        <f t="shared" si="2"/>
        <v/>
      </c>
      <c r="P44" s="306" t="str">
        <f t="shared" si="3"/>
        <v/>
      </c>
      <c r="Q44" s="306" t="str">
        <f t="shared" si="4"/>
        <v/>
      </c>
      <c r="S44" s="306" t="str">
        <f t="shared" si="5"/>
        <v/>
      </c>
      <c r="T44" s="306" t="str">
        <f t="shared" si="6"/>
        <v/>
      </c>
      <c r="U44" s="306" t="str">
        <f t="shared" si="7"/>
        <v/>
      </c>
      <c r="W44" s="306" t="str">
        <f t="shared" si="8"/>
        <v/>
      </c>
      <c r="X44" s="306" t="str">
        <f t="shared" si="9"/>
        <v/>
      </c>
      <c r="Y44" s="306" t="str">
        <f t="shared" si="10"/>
        <v/>
      </c>
    </row>
    <row r="45" spans="1:25" s="10" customFormat="1">
      <c r="A45" s="303">
        <f t="shared" si="11"/>
        <v>28</v>
      </c>
      <c r="B45" s="305"/>
      <c r="C45" s="305"/>
      <c r="D45" s="305"/>
      <c r="E45" s="305"/>
      <c r="F45" s="305"/>
      <c r="G45" s="305"/>
      <c r="H45" s="305"/>
      <c r="I45" s="305"/>
      <c r="J45" s="305"/>
      <c r="K45" s="305" t="str">
        <f t="shared" si="0"/>
        <v/>
      </c>
      <c r="L45" s="305"/>
      <c r="M45" s="305" t="str">
        <f t="shared" si="1"/>
        <v/>
      </c>
      <c r="O45" s="306" t="str">
        <f t="shared" si="2"/>
        <v/>
      </c>
      <c r="P45" s="306" t="str">
        <f t="shared" si="3"/>
        <v/>
      </c>
      <c r="Q45" s="306" t="str">
        <f t="shared" si="4"/>
        <v/>
      </c>
      <c r="S45" s="306" t="str">
        <f t="shared" si="5"/>
        <v/>
      </c>
      <c r="T45" s="306" t="str">
        <f t="shared" si="6"/>
        <v/>
      </c>
      <c r="U45" s="306" t="str">
        <f t="shared" si="7"/>
        <v/>
      </c>
      <c r="W45" s="306" t="str">
        <f t="shared" si="8"/>
        <v/>
      </c>
      <c r="X45" s="306" t="str">
        <f t="shared" si="9"/>
        <v/>
      </c>
      <c r="Y45" s="306" t="str">
        <f t="shared" si="10"/>
        <v/>
      </c>
    </row>
    <row r="46" spans="1:25" s="10" customFormat="1">
      <c r="A46" s="303">
        <f t="shared" si="11"/>
        <v>29</v>
      </c>
      <c r="B46" s="305"/>
      <c r="C46" s="305"/>
      <c r="D46" s="305"/>
      <c r="E46" s="305"/>
      <c r="F46" s="305"/>
      <c r="G46" s="305"/>
      <c r="H46" s="305"/>
      <c r="I46" s="305"/>
      <c r="J46" s="305"/>
      <c r="K46" s="305" t="str">
        <f t="shared" si="0"/>
        <v/>
      </c>
      <c r="L46" s="305"/>
      <c r="M46" s="305" t="str">
        <f t="shared" si="1"/>
        <v/>
      </c>
      <c r="O46" s="306" t="str">
        <f t="shared" si="2"/>
        <v/>
      </c>
      <c r="P46" s="306" t="str">
        <f t="shared" si="3"/>
        <v/>
      </c>
      <c r="Q46" s="306" t="str">
        <f t="shared" si="4"/>
        <v/>
      </c>
      <c r="S46" s="306" t="str">
        <f t="shared" si="5"/>
        <v/>
      </c>
      <c r="T46" s="306" t="str">
        <f t="shared" si="6"/>
        <v/>
      </c>
      <c r="U46" s="306" t="str">
        <f t="shared" si="7"/>
        <v/>
      </c>
      <c r="W46" s="306" t="str">
        <f t="shared" si="8"/>
        <v/>
      </c>
      <c r="X46" s="306" t="str">
        <f t="shared" si="9"/>
        <v/>
      </c>
      <c r="Y46" s="306" t="str">
        <f t="shared" si="10"/>
        <v/>
      </c>
    </row>
    <row r="47" spans="1:25" s="10" customFormat="1">
      <c r="A47" s="303">
        <f t="shared" si="11"/>
        <v>30</v>
      </c>
      <c r="B47" s="305"/>
      <c r="C47" s="305"/>
      <c r="D47" s="305"/>
      <c r="E47" s="305"/>
      <c r="F47" s="305"/>
      <c r="G47" s="305"/>
      <c r="H47" s="305"/>
      <c r="I47" s="305"/>
      <c r="J47" s="305"/>
      <c r="K47" s="305" t="str">
        <f t="shared" si="0"/>
        <v/>
      </c>
      <c r="L47" s="305"/>
      <c r="M47" s="305" t="str">
        <f t="shared" si="1"/>
        <v/>
      </c>
      <c r="O47" s="306" t="str">
        <f t="shared" si="2"/>
        <v/>
      </c>
      <c r="P47" s="306" t="str">
        <f t="shared" si="3"/>
        <v/>
      </c>
      <c r="Q47" s="306" t="str">
        <f t="shared" si="4"/>
        <v/>
      </c>
      <c r="S47" s="306" t="str">
        <f t="shared" si="5"/>
        <v/>
      </c>
      <c r="T47" s="306" t="str">
        <f t="shared" si="6"/>
        <v/>
      </c>
      <c r="U47" s="306" t="str">
        <f t="shared" si="7"/>
        <v/>
      </c>
      <c r="W47" s="306" t="str">
        <f t="shared" si="8"/>
        <v/>
      </c>
      <c r="X47" s="306" t="str">
        <f t="shared" si="9"/>
        <v/>
      </c>
      <c r="Y47" s="306" t="str">
        <f t="shared" si="10"/>
        <v/>
      </c>
    </row>
    <row r="48" spans="1:25" s="10" customFormat="1">
      <c r="A48" s="303">
        <f t="shared" si="11"/>
        <v>31</v>
      </c>
      <c r="B48" s="305"/>
      <c r="C48" s="305"/>
      <c r="D48" s="305"/>
      <c r="E48" s="305"/>
      <c r="F48" s="305"/>
      <c r="G48" s="305"/>
      <c r="H48" s="305"/>
      <c r="I48" s="305"/>
      <c r="J48" s="305"/>
      <c r="K48" s="305" t="str">
        <f t="shared" si="0"/>
        <v/>
      </c>
      <c r="L48" s="305"/>
      <c r="M48" s="305" t="str">
        <f t="shared" si="1"/>
        <v/>
      </c>
      <c r="O48" s="306" t="str">
        <f t="shared" si="2"/>
        <v/>
      </c>
      <c r="P48" s="306" t="str">
        <f t="shared" si="3"/>
        <v/>
      </c>
      <c r="Q48" s="306" t="str">
        <f t="shared" si="4"/>
        <v/>
      </c>
      <c r="S48" s="306" t="str">
        <f t="shared" si="5"/>
        <v/>
      </c>
      <c r="T48" s="306" t="str">
        <f t="shared" si="6"/>
        <v/>
      </c>
      <c r="U48" s="306" t="str">
        <f t="shared" si="7"/>
        <v/>
      </c>
      <c r="W48" s="306" t="str">
        <f t="shared" si="8"/>
        <v/>
      </c>
      <c r="X48" s="306" t="str">
        <f t="shared" si="9"/>
        <v/>
      </c>
      <c r="Y48" s="306" t="str">
        <f t="shared" si="10"/>
        <v/>
      </c>
    </row>
    <row r="49" spans="1:25" s="10" customFormat="1">
      <c r="A49" s="303">
        <f t="shared" si="11"/>
        <v>32</v>
      </c>
      <c r="B49" s="305"/>
      <c r="C49" s="305"/>
      <c r="D49" s="305"/>
      <c r="E49" s="305"/>
      <c r="F49" s="305"/>
      <c r="G49" s="305"/>
      <c r="H49" s="305"/>
      <c r="I49" s="305"/>
      <c r="J49" s="305"/>
      <c r="K49" s="305" t="str">
        <f t="shared" si="0"/>
        <v/>
      </c>
      <c r="L49" s="305"/>
      <c r="M49" s="305" t="str">
        <f t="shared" si="1"/>
        <v/>
      </c>
      <c r="O49" s="306" t="str">
        <f t="shared" si="2"/>
        <v/>
      </c>
      <c r="P49" s="306" t="str">
        <f t="shared" si="3"/>
        <v/>
      </c>
      <c r="Q49" s="306" t="str">
        <f t="shared" si="4"/>
        <v/>
      </c>
      <c r="S49" s="306" t="str">
        <f t="shared" si="5"/>
        <v/>
      </c>
      <c r="T49" s="306" t="str">
        <f t="shared" si="6"/>
        <v/>
      </c>
      <c r="U49" s="306" t="str">
        <f t="shared" si="7"/>
        <v/>
      </c>
      <c r="W49" s="306" t="str">
        <f t="shared" si="8"/>
        <v/>
      </c>
      <c r="X49" s="306" t="str">
        <f t="shared" si="9"/>
        <v/>
      </c>
      <c r="Y49" s="306" t="str">
        <f t="shared" si="10"/>
        <v/>
      </c>
    </row>
    <row r="50" spans="1:25" s="10" customFormat="1">
      <c r="A50" s="303">
        <f t="shared" si="11"/>
        <v>33</v>
      </c>
      <c r="B50" s="305"/>
      <c r="C50" s="305"/>
      <c r="D50" s="305"/>
      <c r="E50" s="305"/>
      <c r="F50" s="305"/>
      <c r="G50" s="305"/>
      <c r="H50" s="305"/>
      <c r="I50" s="305"/>
      <c r="J50" s="305"/>
      <c r="K50" s="305" t="str">
        <f t="shared" si="0"/>
        <v/>
      </c>
      <c r="L50" s="305"/>
      <c r="M50" s="305" t="str">
        <f t="shared" si="1"/>
        <v/>
      </c>
      <c r="O50" s="306" t="str">
        <f t="shared" si="2"/>
        <v/>
      </c>
      <c r="P50" s="306" t="str">
        <f t="shared" si="3"/>
        <v/>
      </c>
      <c r="Q50" s="306" t="str">
        <f t="shared" si="4"/>
        <v/>
      </c>
      <c r="S50" s="306" t="str">
        <f t="shared" si="5"/>
        <v/>
      </c>
      <c r="T50" s="306" t="str">
        <f t="shared" si="6"/>
        <v/>
      </c>
      <c r="U50" s="306" t="str">
        <f t="shared" si="7"/>
        <v/>
      </c>
      <c r="W50" s="306" t="str">
        <f t="shared" si="8"/>
        <v/>
      </c>
      <c r="X50" s="306" t="str">
        <f t="shared" si="9"/>
        <v/>
      </c>
      <c r="Y50" s="306" t="str">
        <f t="shared" si="10"/>
        <v/>
      </c>
    </row>
    <row r="51" spans="1:25" s="10" customFormat="1">
      <c r="A51" s="303">
        <f t="shared" si="11"/>
        <v>34</v>
      </c>
      <c r="B51" s="305"/>
      <c r="C51" s="305"/>
      <c r="D51" s="305"/>
      <c r="E51" s="305"/>
      <c r="F51" s="305"/>
      <c r="G51" s="305"/>
      <c r="H51" s="305"/>
      <c r="I51" s="305"/>
      <c r="J51" s="305"/>
      <c r="K51" s="305" t="str">
        <f t="shared" si="0"/>
        <v/>
      </c>
      <c r="L51" s="305"/>
      <c r="M51" s="305" t="str">
        <f t="shared" si="1"/>
        <v/>
      </c>
      <c r="O51" s="306" t="str">
        <f t="shared" si="2"/>
        <v/>
      </c>
      <c r="P51" s="306" t="str">
        <f t="shared" si="3"/>
        <v/>
      </c>
      <c r="Q51" s="306" t="str">
        <f t="shared" si="4"/>
        <v/>
      </c>
      <c r="S51" s="306" t="str">
        <f t="shared" si="5"/>
        <v/>
      </c>
      <c r="T51" s="306" t="str">
        <f t="shared" si="6"/>
        <v/>
      </c>
      <c r="U51" s="306" t="str">
        <f t="shared" si="7"/>
        <v/>
      </c>
      <c r="W51" s="306" t="str">
        <f t="shared" si="8"/>
        <v/>
      </c>
      <c r="X51" s="306" t="str">
        <f t="shared" si="9"/>
        <v/>
      </c>
      <c r="Y51" s="306" t="str">
        <f t="shared" si="10"/>
        <v/>
      </c>
    </row>
    <row r="52" spans="1:25" s="10" customFormat="1">
      <c r="A52" s="303">
        <f t="shared" si="11"/>
        <v>35</v>
      </c>
      <c r="B52" s="305"/>
      <c r="C52" s="305"/>
      <c r="D52" s="305"/>
      <c r="E52" s="305"/>
      <c r="F52" s="305"/>
      <c r="G52" s="305"/>
      <c r="H52" s="305"/>
      <c r="I52" s="305"/>
      <c r="J52" s="305"/>
      <c r="K52" s="305" t="str">
        <f t="shared" si="0"/>
        <v/>
      </c>
      <c r="L52" s="305"/>
      <c r="M52" s="305" t="str">
        <f t="shared" si="1"/>
        <v/>
      </c>
      <c r="O52" s="306" t="str">
        <f t="shared" si="2"/>
        <v/>
      </c>
      <c r="P52" s="306" t="str">
        <f t="shared" si="3"/>
        <v/>
      </c>
      <c r="Q52" s="306" t="str">
        <f t="shared" si="4"/>
        <v/>
      </c>
      <c r="S52" s="306" t="str">
        <f t="shared" si="5"/>
        <v/>
      </c>
      <c r="T52" s="306" t="str">
        <f t="shared" si="6"/>
        <v/>
      </c>
      <c r="U52" s="306" t="str">
        <f t="shared" si="7"/>
        <v/>
      </c>
      <c r="W52" s="306" t="str">
        <f t="shared" si="8"/>
        <v/>
      </c>
      <c r="X52" s="306" t="str">
        <f t="shared" si="9"/>
        <v/>
      </c>
      <c r="Y52" s="306" t="str">
        <f t="shared" si="10"/>
        <v/>
      </c>
    </row>
    <row r="53" spans="1:25" s="10" customFormat="1">
      <c r="A53" s="303">
        <f t="shared" si="11"/>
        <v>36</v>
      </c>
      <c r="B53" s="305"/>
      <c r="C53" s="305"/>
      <c r="D53" s="305"/>
      <c r="E53" s="305"/>
      <c r="F53" s="305"/>
      <c r="G53" s="305"/>
      <c r="H53" s="305"/>
      <c r="I53" s="305"/>
      <c r="J53" s="305"/>
      <c r="K53" s="305" t="str">
        <f t="shared" si="0"/>
        <v/>
      </c>
      <c r="L53" s="305"/>
      <c r="M53" s="305" t="str">
        <f t="shared" si="1"/>
        <v/>
      </c>
      <c r="O53" s="306" t="str">
        <f t="shared" si="2"/>
        <v/>
      </c>
      <c r="P53" s="306" t="str">
        <f t="shared" si="3"/>
        <v/>
      </c>
      <c r="Q53" s="306" t="str">
        <f t="shared" si="4"/>
        <v/>
      </c>
      <c r="S53" s="306" t="str">
        <f t="shared" si="5"/>
        <v/>
      </c>
      <c r="T53" s="306" t="str">
        <f t="shared" si="6"/>
        <v/>
      </c>
      <c r="U53" s="306" t="str">
        <f t="shared" si="7"/>
        <v/>
      </c>
      <c r="W53" s="306" t="str">
        <f t="shared" si="8"/>
        <v/>
      </c>
      <c r="X53" s="306" t="str">
        <f t="shared" si="9"/>
        <v/>
      </c>
      <c r="Y53" s="306" t="str">
        <f t="shared" si="10"/>
        <v/>
      </c>
    </row>
    <row r="54" spans="1:25" s="10" customFormat="1">
      <c r="A54" s="303">
        <f t="shared" si="11"/>
        <v>37</v>
      </c>
      <c r="B54" s="305"/>
      <c r="C54" s="305"/>
      <c r="D54" s="305"/>
      <c r="E54" s="305"/>
      <c r="F54" s="305"/>
      <c r="G54" s="305"/>
      <c r="H54" s="305"/>
      <c r="I54" s="305"/>
      <c r="J54" s="305"/>
      <c r="K54" s="305" t="str">
        <f t="shared" si="0"/>
        <v/>
      </c>
      <c r="L54" s="305"/>
      <c r="M54" s="305" t="str">
        <f t="shared" si="1"/>
        <v/>
      </c>
      <c r="O54" s="306" t="str">
        <f t="shared" si="2"/>
        <v/>
      </c>
      <c r="P54" s="306" t="str">
        <f t="shared" si="3"/>
        <v/>
      </c>
      <c r="Q54" s="306" t="str">
        <f t="shared" si="4"/>
        <v/>
      </c>
      <c r="S54" s="306" t="str">
        <f t="shared" si="5"/>
        <v/>
      </c>
      <c r="T54" s="306" t="str">
        <f t="shared" si="6"/>
        <v/>
      </c>
      <c r="U54" s="306" t="str">
        <f t="shared" si="7"/>
        <v/>
      </c>
      <c r="W54" s="306" t="str">
        <f t="shared" si="8"/>
        <v/>
      </c>
      <c r="X54" s="306" t="str">
        <f t="shared" si="9"/>
        <v/>
      </c>
      <c r="Y54" s="306" t="str">
        <f t="shared" si="10"/>
        <v/>
      </c>
    </row>
    <row r="55" spans="1:25" s="10" customFormat="1">
      <c r="A55" s="303">
        <f t="shared" si="11"/>
        <v>38</v>
      </c>
      <c r="B55" s="305"/>
      <c r="C55" s="305"/>
      <c r="D55" s="305"/>
      <c r="E55" s="305"/>
      <c r="F55" s="305"/>
      <c r="G55" s="305"/>
      <c r="H55" s="305"/>
      <c r="I55" s="305"/>
      <c r="J55" s="305"/>
      <c r="K55" s="305" t="str">
        <f t="shared" si="0"/>
        <v/>
      </c>
      <c r="L55" s="305"/>
      <c r="M55" s="305" t="str">
        <f t="shared" si="1"/>
        <v/>
      </c>
      <c r="O55" s="306" t="str">
        <f t="shared" si="2"/>
        <v/>
      </c>
      <c r="P55" s="306" t="str">
        <f t="shared" si="3"/>
        <v/>
      </c>
      <c r="Q55" s="306" t="str">
        <f t="shared" si="4"/>
        <v/>
      </c>
      <c r="S55" s="306" t="str">
        <f t="shared" si="5"/>
        <v/>
      </c>
      <c r="T55" s="306" t="str">
        <f t="shared" si="6"/>
        <v/>
      </c>
      <c r="U55" s="306" t="str">
        <f t="shared" si="7"/>
        <v/>
      </c>
      <c r="W55" s="306" t="str">
        <f t="shared" si="8"/>
        <v/>
      </c>
      <c r="X55" s="306" t="str">
        <f t="shared" si="9"/>
        <v/>
      </c>
      <c r="Y55" s="306" t="str">
        <f t="shared" si="10"/>
        <v/>
      </c>
    </row>
    <row r="56" spans="1:25" s="10" customFormat="1">
      <c r="A56" s="303">
        <f t="shared" si="11"/>
        <v>39</v>
      </c>
      <c r="B56" s="305"/>
      <c r="C56" s="305"/>
      <c r="D56" s="305"/>
      <c r="E56" s="305"/>
      <c r="F56" s="305"/>
      <c r="G56" s="305"/>
      <c r="H56" s="305"/>
      <c r="I56" s="305"/>
      <c r="J56" s="305"/>
      <c r="K56" s="305" t="str">
        <f t="shared" si="0"/>
        <v/>
      </c>
      <c r="L56" s="305"/>
      <c r="M56" s="305" t="str">
        <f t="shared" si="1"/>
        <v/>
      </c>
      <c r="O56" s="306" t="str">
        <f t="shared" si="2"/>
        <v/>
      </c>
      <c r="P56" s="306" t="str">
        <f t="shared" si="3"/>
        <v/>
      </c>
      <c r="Q56" s="306" t="str">
        <f t="shared" si="4"/>
        <v/>
      </c>
      <c r="S56" s="306" t="str">
        <f t="shared" si="5"/>
        <v/>
      </c>
      <c r="T56" s="306" t="str">
        <f t="shared" si="6"/>
        <v/>
      </c>
      <c r="U56" s="306" t="str">
        <f t="shared" si="7"/>
        <v/>
      </c>
      <c r="W56" s="306" t="str">
        <f t="shared" si="8"/>
        <v/>
      </c>
      <c r="X56" s="306" t="str">
        <f t="shared" si="9"/>
        <v/>
      </c>
      <c r="Y56" s="306" t="str">
        <f t="shared" si="10"/>
        <v/>
      </c>
    </row>
    <row r="57" spans="1:25" s="10" customFormat="1">
      <c r="A57" s="303">
        <f t="shared" si="11"/>
        <v>40</v>
      </c>
      <c r="B57" s="305"/>
      <c r="C57" s="305"/>
      <c r="D57" s="305"/>
      <c r="E57" s="305"/>
      <c r="F57" s="305"/>
      <c r="G57" s="305"/>
      <c r="H57" s="305"/>
      <c r="I57" s="305"/>
      <c r="J57" s="305"/>
      <c r="K57" s="305" t="str">
        <f t="shared" si="0"/>
        <v/>
      </c>
      <c r="L57" s="305"/>
      <c r="M57" s="305" t="str">
        <f t="shared" si="1"/>
        <v/>
      </c>
      <c r="O57" s="306" t="str">
        <f t="shared" si="2"/>
        <v/>
      </c>
      <c r="P57" s="306" t="str">
        <f t="shared" si="3"/>
        <v/>
      </c>
      <c r="Q57" s="306" t="str">
        <f t="shared" si="4"/>
        <v/>
      </c>
      <c r="S57" s="306" t="str">
        <f t="shared" si="5"/>
        <v/>
      </c>
      <c r="T57" s="306" t="str">
        <f t="shared" si="6"/>
        <v/>
      </c>
      <c r="U57" s="306" t="str">
        <f t="shared" si="7"/>
        <v/>
      </c>
      <c r="W57" s="306" t="str">
        <f t="shared" si="8"/>
        <v/>
      </c>
      <c r="X57" s="306" t="str">
        <f t="shared" si="9"/>
        <v/>
      </c>
      <c r="Y57" s="306" t="str">
        <f t="shared" si="10"/>
        <v/>
      </c>
    </row>
    <row r="58" spans="1:25" s="118" customFormat="1">
      <c r="A58" s="307"/>
      <c r="B58" s="308"/>
      <c r="C58" s="308"/>
      <c r="D58" s="308"/>
      <c r="E58" s="308"/>
      <c r="F58" s="308"/>
      <c r="G58" s="308"/>
      <c r="H58" s="308"/>
      <c r="I58" s="308"/>
      <c r="J58" s="308"/>
      <c r="K58" s="308"/>
      <c r="L58" s="308"/>
      <c r="M58" s="308"/>
      <c r="O58" s="309"/>
      <c r="P58" s="309"/>
      <c r="Q58" s="309"/>
      <c r="S58" s="309"/>
      <c r="T58" s="309"/>
      <c r="U58" s="309"/>
      <c r="W58" s="309"/>
      <c r="X58" s="309"/>
      <c r="Y58" s="309"/>
    </row>
    <row r="59" spans="1:25" s="118" customFormat="1">
      <c r="A59" s="310"/>
      <c r="B59" s="309"/>
      <c r="C59" s="309"/>
      <c r="D59" s="309"/>
      <c r="E59" s="309"/>
      <c r="F59" s="309"/>
      <c r="G59" s="309"/>
      <c r="H59" s="309"/>
      <c r="I59" s="309"/>
      <c r="J59" s="309"/>
      <c r="K59" s="309"/>
      <c r="L59" s="309"/>
      <c r="M59" s="309"/>
      <c r="O59" s="309"/>
      <c r="P59" s="309"/>
      <c r="Q59" s="309"/>
      <c r="S59" s="309"/>
      <c r="T59" s="309"/>
      <c r="U59" s="309"/>
      <c r="W59" s="309"/>
      <c r="X59" s="309"/>
      <c r="Y59" s="309"/>
    </row>
    <row r="60" spans="1:25" s="10" customFormat="1" ht="15.75">
      <c r="A60" s="1036" t="s">
        <v>433</v>
      </c>
      <c r="B60" s="1036"/>
      <c r="C60" s="1036"/>
      <c r="D60" s="1036"/>
      <c r="E60" s="1036"/>
      <c r="F60" s="1036"/>
      <c r="G60" s="1036"/>
      <c r="H60" s="1036"/>
      <c r="I60" s="1036"/>
      <c r="J60" s="1036"/>
      <c r="K60" s="1036"/>
      <c r="L60" s="1036"/>
      <c r="M60" s="1036"/>
      <c r="O60" s="306"/>
      <c r="P60" s="306"/>
      <c r="Q60" s="306"/>
      <c r="S60" s="306"/>
      <c r="T60" s="306"/>
      <c r="U60" s="306"/>
      <c r="W60" s="306"/>
      <c r="X60" s="306"/>
      <c r="Y60" s="306"/>
    </row>
    <row r="61" spans="1:25" s="10" customFormat="1" ht="25.5">
      <c r="A61" s="303" t="s">
        <v>307</v>
      </c>
      <c r="B61" s="303" t="s">
        <v>421</v>
      </c>
      <c r="C61" s="303" t="s">
        <v>422</v>
      </c>
      <c r="D61" s="303" t="s">
        <v>423</v>
      </c>
      <c r="E61" s="303" t="s">
        <v>424</v>
      </c>
      <c r="F61" s="303" t="s">
        <v>425</v>
      </c>
      <c r="G61" s="303" t="s">
        <v>426</v>
      </c>
      <c r="H61" s="303" t="s">
        <v>427</v>
      </c>
      <c r="I61" s="303" t="s">
        <v>428</v>
      </c>
      <c r="J61" s="303" t="s">
        <v>429</v>
      </c>
      <c r="K61" s="303" t="s">
        <v>430</v>
      </c>
      <c r="L61" s="304" t="s">
        <v>431</v>
      </c>
      <c r="M61" s="303" t="s">
        <v>432</v>
      </c>
      <c r="O61" s="306"/>
      <c r="P61" s="306"/>
      <c r="Q61" s="306"/>
      <c r="S61" s="306"/>
      <c r="T61" s="306"/>
      <c r="U61" s="306"/>
      <c r="W61" s="306"/>
      <c r="X61" s="306"/>
      <c r="Y61" s="306"/>
    </row>
    <row r="62" spans="1:25" s="10" customFormat="1">
      <c r="A62" s="303">
        <f>A57+1</f>
        <v>41</v>
      </c>
      <c r="B62" s="305"/>
      <c r="C62" s="305"/>
      <c r="D62" s="305"/>
      <c r="E62" s="305"/>
      <c r="F62" s="305"/>
      <c r="G62" s="305"/>
      <c r="H62" s="305"/>
      <c r="I62" s="305"/>
      <c r="J62" s="305"/>
      <c r="K62" s="305" t="str">
        <f t="shared" ref="K62:K71" si="12">IF(L62&lt;&gt;"",IF(OR(L62&lt;$H$14,L62&gt;$E$14),0,1),"")</f>
        <v/>
      </c>
      <c r="L62" s="305"/>
      <c r="M62" s="305" t="str">
        <f t="shared" ref="M62:M71" si="13">IF(B62&lt;&gt;"",IF(SUM(B62:J62)=9,"+",IF(SUM(B62:J62)=0,"-","x")),"")</f>
        <v/>
      </c>
      <c r="O62" s="306" t="str">
        <f t="shared" ref="O62:O71" si="14">IF(B62&lt;&gt;"",IF(AND(B62=0,E62=0),"a",IF(AND(B62=1,E62=0),"b",IF(AND(B62=0,E62=1),"c","d"))),"")</f>
        <v/>
      </c>
      <c r="P62" s="306" t="str">
        <f t="shared" ref="P62:P71" si="15">IF(C62&lt;&gt;"",IF(AND(C62=0,F62=0),"a",IF(AND(C62=1,F62=0),"b",IF(AND(C62=0,F62=1),"c","d"))),"")</f>
        <v/>
      </c>
      <c r="Q62" s="306" t="str">
        <f t="shared" ref="Q62:Q71" si="16">IF(D62&lt;&gt;"",IF(AND(D62=0,G62=0),"a",IF(AND(D62=1,G62=0),"b",IF(AND(D62=0,G62=1),"c","d"))),"")</f>
        <v/>
      </c>
      <c r="S62" s="306" t="str">
        <f t="shared" ref="S62:S71" si="17">IF(E62&lt;&gt;"",IF(AND(E62=0,H62=0),"a",IF(AND(E62=1,H62=0),"b",IF(AND(E62=0,H62=1),"c","d"))),"")</f>
        <v/>
      </c>
      <c r="T62" s="306" t="str">
        <f t="shared" ref="T62:T71" si="18">IF(F62&lt;&gt;"",IF(AND(F62=0,I62=0),"a",IF(AND(F62=1,I62=0),"b",IF(AND(F62=0,I62=1),"c","d"))),"")</f>
        <v/>
      </c>
      <c r="U62" s="306" t="str">
        <f t="shared" ref="U62:U71" si="19">IF(G62&lt;&gt;"",IF(AND(G62=0,J62=0),"a",IF(AND(G62=1,J62=0),"b",IF(AND(G62=0,J62=1),"c","d"))),"")</f>
        <v/>
      </c>
      <c r="W62" s="306" t="str">
        <f t="shared" ref="W62:W71" si="20">IF(B62&lt;&gt;"",IF(AND(B62=0,H62=0),"a",IF(AND(B62=1,H62=0),"b",IF(AND(B62=0,H62=1),"c","d"))),"")</f>
        <v/>
      </c>
      <c r="X62" s="306" t="str">
        <f t="shared" ref="X62:X71" si="21">IF(C62&lt;&gt;"",IF(AND(C62=0,I62=0),"a",IF(AND(C62=1,I62=0),"b",IF(AND(C62=0,I62=1),"c","d"))),"")</f>
        <v/>
      </c>
      <c r="Y62" s="306" t="str">
        <f t="shared" ref="Y62:Y71" si="22">IF(D62&lt;&gt;"",IF(AND(D62=0,J62=0),"a",IF(AND(D62=1,J62=0),"b",IF(AND(D62=0,J62=1),"c","d"))),"")</f>
        <v/>
      </c>
    </row>
    <row r="63" spans="1:25" s="10" customFormat="1">
      <c r="A63" s="303">
        <f t="shared" ref="A63:A71" si="23">A62+1</f>
        <v>42</v>
      </c>
      <c r="B63" s="305"/>
      <c r="C63" s="305"/>
      <c r="D63" s="305"/>
      <c r="E63" s="305"/>
      <c r="F63" s="305"/>
      <c r="G63" s="305"/>
      <c r="H63" s="305"/>
      <c r="I63" s="305"/>
      <c r="J63" s="305"/>
      <c r="K63" s="305" t="str">
        <f t="shared" si="12"/>
        <v/>
      </c>
      <c r="L63" s="305"/>
      <c r="M63" s="305" t="str">
        <f t="shared" si="13"/>
        <v/>
      </c>
      <c r="O63" s="306" t="str">
        <f t="shared" si="14"/>
        <v/>
      </c>
      <c r="P63" s="306" t="str">
        <f t="shared" si="15"/>
        <v/>
      </c>
      <c r="Q63" s="306" t="str">
        <f t="shared" si="16"/>
        <v/>
      </c>
      <c r="S63" s="306" t="str">
        <f t="shared" si="17"/>
        <v/>
      </c>
      <c r="T63" s="306" t="str">
        <f t="shared" si="18"/>
        <v/>
      </c>
      <c r="U63" s="306" t="str">
        <f t="shared" si="19"/>
        <v/>
      </c>
      <c r="W63" s="306" t="str">
        <f t="shared" si="20"/>
        <v/>
      </c>
      <c r="X63" s="306" t="str">
        <f t="shared" si="21"/>
        <v/>
      </c>
      <c r="Y63" s="306" t="str">
        <f t="shared" si="22"/>
        <v/>
      </c>
    </row>
    <row r="64" spans="1:25" s="10" customFormat="1">
      <c r="A64" s="303">
        <f t="shared" si="23"/>
        <v>43</v>
      </c>
      <c r="B64" s="305"/>
      <c r="C64" s="305"/>
      <c r="D64" s="305"/>
      <c r="E64" s="305"/>
      <c r="F64" s="305"/>
      <c r="G64" s="305"/>
      <c r="H64" s="305"/>
      <c r="I64" s="305"/>
      <c r="J64" s="305"/>
      <c r="K64" s="305" t="str">
        <f t="shared" si="12"/>
        <v/>
      </c>
      <c r="L64" s="305"/>
      <c r="M64" s="305" t="str">
        <f t="shared" si="13"/>
        <v/>
      </c>
      <c r="O64" s="306" t="str">
        <f t="shared" si="14"/>
        <v/>
      </c>
      <c r="P64" s="306" t="str">
        <f t="shared" si="15"/>
        <v/>
      </c>
      <c r="Q64" s="306" t="str">
        <f t="shared" si="16"/>
        <v/>
      </c>
      <c r="S64" s="306" t="str">
        <f t="shared" si="17"/>
        <v/>
      </c>
      <c r="T64" s="306" t="str">
        <f t="shared" si="18"/>
        <v/>
      </c>
      <c r="U64" s="306" t="str">
        <f t="shared" si="19"/>
        <v/>
      </c>
      <c r="W64" s="306" t="str">
        <f t="shared" si="20"/>
        <v/>
      </c>
      <c r="X64" s="306" t="str">
        <f t="shared" si="21"/>
        <v/>
      </c>
      <c r="Y64" s="306" t="str">
        <f t="shared" si="22"/>
        <v/>
      </c>
    </row>
    <row r="65" spans="1:32" s="10" customFormat="1">
      <c r="A65" s="303">
        <f t="shared" si="23"/>
        <v>44</v>
      </c>
      <c r="B65" s="305"/>
      <c r="C65" s="305"/>
      <c r="D65" s="305"/>
      <c r="E65" s="305"/>
      <c r="F65" s="305"/>
      <c r="G65" s="305"/>
      <c r="H65" s="305"/>
      <c r="I65" s="305"/>
      <c r="J65" s="305"/>
      <c r="K65" s="305" t="str">
        <f t="shared" si="12"/>
        <v/>
      </c>
      <c r="L65" s="305"/>
      <c r="M65" s="305" t="str">
        <f t="shared" si="13"/>
        <v/>
      </c>
      <c r="O65" s="306" t="str">
        <f t="shared" si="14"/>
        <v/>
      </c>
      <c r="P65" s="306" t="str">
        <f t="shared" si="15"/>
        <v/>
      </c>
      <c r="Q65" s="306" t="str">
        <f t="shared" si="16"/>
        <v/>
      </c>
      <c r="S65" s="306" t="str">
        <f t="shared" si="17"/>
        <v/>
      </c>
      <c r="T65" s="306" t="str">
        <f t="shared" si="18"/>
        <v/>
      </c>
      <c r="U65" s="306" t="str">
        <f t="shared" si="19"/>
        <v/>
      </c>
      <c r="W65" s="306" t="str">
        <f t="shared" si="20"/>
        <v/>
      </c>
      <c r="X65" s="306" t="str">
        <f t="shared" si="21"/>
        <v/>
      </c>
      <c r="Y65" s="306" t="str">
        <f t="shared" si="22"/>
        <v/>
      </c>
    </row>
    <row r="66" spans="1:32" s="10" customFormat="1">
      <c r="A66" s="303">
        <f t="shared" si="23"/>
        <v>45</v>
      </c>
      <c r="B66" s="305"/>
      <c r="C66" s="305"/>
      <c r="D66" s="305"/>
      <c r="E66" s="305"/>
      <c r="F66" s="305"/>
      <c r="G66" s="305"/>
      <c r="H66" s="305"/>
      <c r="I66" s="305"/>
      <c r="J66" s="305"/>
      <c r="K66" s="305" t="str">
        <f t="shared" si="12"/>
        <v/>
      </c>
      <c r="L66" s="305"/>
      <c r="M66" s="305" t="str">
        <f t="shared" si="13"/>
        <v/>
      </c>
      <c r="O66" s="306" t="str">
        <f t="shared" si="14"/>
        <v/>
      </c>
      <c r="P66" s="306" t="str">
        <f t="shared" si="15"/>
        <v/>
      </c>
      <c r="Q66" s="306" t="str">
        <f t="shared" si="16"/>
        <v/>
      </c>
      <c r="S66" s="306" t="str">
        <f t="shared" si="17"/>
        <v/>
      </c>
      <c r="T66" s="306" t="str">
        <f t="shared" si="18"/>
        <v/>
      </c>
      <c r="U66" s="306" t="str">
        <f t="shared" si="19"/>
        <v/>
      </c>
      <c r="W66" s="306" t="str">
        <f t="shared" si="20"/>
        <v/>
      </c>
      <c r="X66" s="306" t="str">
        <f t="shared" si="21"/>
        <v/>
      </c>
      <c r="Y66" s="306" t="str">
        <f t="shared" si="22"/>
        <v/>
      </c>
    </row>
    <row r="67" spans="1:32" s="10" customFormat="1">
      <c r="A67" s="303">
        <f t="shared" si="23"/>
        <v>46</v>
      </c>
      <c r="B67" s="305"/>
      <c r="C67" s="305"/>
      <c r="D67" s="305"/>
      <c r="E67" s="305"/>
      <c r="F67" s="305"/>
      <c r="G67" s="305"/>
      <c r="H67" s="305"/>
      <c r="I67" s="305"/>
      <c r="J67" s="305"/>
      <c r="K67" s="305" t="str">
        <f t="shared" si="12"/>
        <v/>
      </c>
      <c r="L67" s="305"/>
      <c r="M67" s="305" t="str">
        <f t="shared" si="13"/>
        <v/>
      </c>
      <c r="O67" s="306" t="str">
        <f t="shared" si="14"/>
        <v/>
      </c>
      <c r="P67" s="306" t="str">
        <f t="shared" si="15"/>
        <v/>
      </c>
      <c r="Q67" s="306" t="str">
        <f t="shared" si="16"/>
        <v/>
      </c>
      <c r="S67" s="306" t="str">
        <f t="shared" si="17"/>
        <v/>
      </c>
      <c r="T67" s="306" t="str">
        <f t="shared" si="18"/>
        <v/>
      </c>
      <c r="U67" s="306" t="str">
        <f t="shared" si="19"/>
        <v/>
      </c>
      <c r="W67" s="306" t="str">
        <f t="shared" si="20"/>
        <v/>
      </c>
      <c r="X67" s="306" t="str">
        <f t="shared" si="21"/>
        <v/>
      </c>
      <c r="Y67" s="306" t="str">
        <f t="shared" si="22"/>
        <v/>
      </c>
    </row>
    <row r="68" spans="1:32" s="10" customFormat="1">
      <c r="A68" s="303">
        <f t="shared" si="23"/>
        <v>47</v>
      </c>
      <c r="B68" s="305"/>
      <c r="C68" s="305"/>
      <c r="D68" s="305"/>
      <c r="E68" s="305"/>
      <c r="F68" s="305"/>
      <c r="G68" s="305"/>
      <c r="H68" s="305"/>
      <c r="I68" s="305"/>
      <c r="J68" s="305"/>
      <c r="K68" s="305" t="str">
        <f t="shared" si="12"/>
        <v/>
      </c>
      <c r="L68" s="305"/>
      <c r="M68" s="305" t="str">
        <f t="shared" si="13"/>
        <v/>
      </c>
      <c r="O68" s="306" t="str">
        <f t="shared" si="14"/>
        <v/>
      </c>
      <c r="P68" s="306" t="str">
        <f t="shared" si="15"/>
        <v/>
      </c>
      <c r="Q68" s="306" t="str">
        <f t="shared" si="16"/>
        <v/>
      </c>
      <c r="S68" s="306" t="str">
        <f t="shared" si="17"/>
        <v/>
      </c>
      <c r="T68" s="306" t="str">
        <f t="shared" si="18"/>
        <v/>
      </c>
      <c r="U68" s="306" t="str">
        <f t="shared" si="19"/>
        <v/>
      </c>
      <c r="W68" s="306" t="str">
        <f t="shared" si="20"/>
        <v/>
      </c>
      <c r="X68" s="306" t="str">
        <f t="shared" si="21"/>
        <v/>
      </c>
      <c r="Y68" s="306" t="str">
        <f t="shared" si="22"/>
        <v/>
      </c>
    </row>
    <row r="69" spans="1:32" s="10" customFormat="1">
      <c r="A69" s="303">
        <f t="shared" si="23"/>
        <v>48</v>
      </c>
      <c r="B69" s="305"/>
      <c r="C69" s="305"/>
      <c r="D69" s="305"/>
      <c r="E69" s="305"/>
      <c r="F69" s="305"/>
      <c r="G69" s="305"/>
      <c r="H69" s="305"/>
      <c r="I69" s="305"/>
      <c r="J69" s="305"/>
      <c r="K69" s="305" t="str">
        <f t="shared" si="12"/>
        <v/>
      </c>
      <c r="L69" s="305"/>
      <c r="M69" s="305" t="str">
        <f t="shared" si="13"/>
        <v/>
      </c>
      <c r="O69" s="306" t="str">
        <f t="shared" si="14"/>
        <v/>
      </c>
      <c r="P69" s="306" t="str">
        <f t="shared" si="15"/>
        <v/>
      </c>
      <c r="Q69" s="306" t="str">
        <f t="shared" si="16"/>
        <v/>
      </c>
      <c r="S69" s="306" t="str">
        <f t="shared" si="17"/>
        <v/>
      </c>
      <c r="T69" s="306" t="str">
        <f t="shared" si="18"/>
        <v/>
      </c>
      <c r="U69" s="306" t="str">
        <f t="shared" si="19"/>
        <v/>
      </c>
      <c r="W69" s="306" t="str">
        <f t="shared" si="20"/>
        <v/>
      </c>
      <c r="X69" s="306" t="str">
        <f t="shared" si="21"/>
        <v/>
      </c>
      <c r="Y69" s="306" t="str">
        <f t="shared" si="22"/>
        <v/>
      </c>
    </row>
    <row r="70" spans="1:32" s="10" customFormat="1">
      <c r="A70" s="303">
        <f t="shared" si="23"/>
        <v>49</v>
      </c>
      <c r="B70" s="305"/>
      <c r="C70" s="305"/>
      <c r="D70" s="305"/>
      <c r="E70" s="305"/>
      <c r="F70" s="305"/>
      <c r="G70" s="305"/>
      <c r="H70" s="305"/>
      <c r="I70" s="305"/>
      <c r="J70" s="305"/>
      <c r="K70" s="305" t="str">
        <f t="shared" si="12"/>
        <v/>
      </c>
      <c r="L70" s="305"/>
      <c r="M70" s="305" t="str">
        <f t="shared" si="13"/>
        <v/>
      </c>
      <c r="O70" s="306" t="str">
        <f t="shared" si="14"/>
        <v/>
      </c>
      <c r="P70" s="306" t="str">
        <f t="shared" si="15"/>
        <v/>
      </c>
      <c r="Q70" s="306" t="str">
        <f t="shared" si="16"/>
        <v/>
      </c>
      <c r="S70" s="306" t="str">
        <f t="shared" si="17"/>
        <v/>
      </c>
      <c r="T70" s="306" t="str">
        <f t="shared" si="18"/>
        <v/>
      </c>
      <c r="U70" s="306" t="str">
        <f t="shared" si="19"/>
        <v/>
      </c>
      <c r="W70" s="306" t="str">
        <f t="shared" si="20"/>
        <v/>
      </c>
      <c r="X70" s="306" t="str">
        <f t="shared" si="21"/>
        <v/>
      </c>
      <c r="Y70" s="306" t="str">
        <f t="shared" si="22"/>
        <v/>
      </c>
    </row>
    <row r="71" spans="1:32" s="10" customFormat="1">
      <c r="A71" s="303">
        <f t="shared" si="23"/>
        <v>50</v>
      </c>
      <c r="B71" s="305"/>
      <c r="C71" s="305"/>
      <c r="D71" s="305"/>
      <c r="E71" s="305"/>
      <c r="F71" s="305"/>
      <c r="G71" s="305"/>
      <c r="H71" s="305"/>
      <c r="I71" s="305"/>
      <c r="J71" s="305"/>
      <c r="K71" s="305" t="str">
        <f t="shared" si="12"/>
        <v/>
      </c>
      <c r="L71" s="305"/>
      <c r="M71" s="305" t="str">
        <f t="shared" si="13"/>
        <v/>
      </c>
      <c r="O71" s="306" t="str">
        <f t="shared" si="14"/>
        <v/>
      </c>
      <c r="P71" s="306" t="str">
        <f t="shared" si="15"/>
        <v/>
      </c>
      <c r="Q71" s="306" t="str">
        <f t="shared" si="16"/>
        <v/>
      </c>
      <c r="S71" s="306" t="str">
        <f t="shared" si="17"/>
        <v/>
      </c>
      <c r="T71" s="306" t="str">
        <f t="shared" si="18"/>
        <v/>
      </c>
      <c r="U71" s="306" t="str">
        <f t="shared" si="19"/>
        <v/>
      </c>
      <c r="W71" s="306" t="str">
        <f t="shared" si="20"/>
        <v/>
      </c>
      <c r="X71" s="306" t="str">
        <f t="shared" si="21"/>
        <v/>
      </c>
      <c r="Y71" s="306" t="str">
        <f t="shared" si="22"/>
        <v/>
      </c>
    </row>
    <row r="75" spans="1:32" s="311" customFormat="1">
      <c r="B75" s="309"/>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row>
    <row r="76" spans="1:32" ht="20.25">
      <c r="B76" s="312" t="s">
        <v>434</v>
      </c>
    </row>
    <row r="78" spans="1:32" ht="15.75">
      <c r="B78" s="1030" t="s">
        <v>435</v>
      </c>
      <c r="C78" s="1030"/>
      <c r="D78" s="1030"/>
      <c r="E78" s="1030"/>
      <c r="F78" s="1030"/>
      <c r="G78" s="1030"/>
      <c r="H78" s="1030"/>
      <c r="I78" s="1030"/>
      <c r="J78" s="1030"/>
      <c r="K78" s="1030"/>
    </row>
    <row r="79" spans="1:32" s="10" customFormat="1">
      <c r="A79" s="306"/>
      <c r="B79" s="313"/>
      <c r="C79" s="313"/>
      <c r="D79" s="313"/>
      <c r="E79" s="313"/>
      <c r="F79" s="313"/>
      <c r="G79" s="313"/>
      <c r="H79" s="313"/>
      <c r="I79" s="313"/>
      <c r="J79" s="313"/>
      <c r="K79" s="313"/>
      <c r="L79" s="306"/>
      <c r="M79" s="306"/>
      <c r="N79" s="160"/>
      <c r="O79" s="153"/>
      <c r="P79" s="153"/>
      <c r="Q79" s="153"/>
      <c r="R79" s="160"/>
      <c r="S79" s="160"/>
      <c r="T79" s="160"/>
      <c r="U79" s="160"/>
      <c r="V79" s="160"/>
      <c r="W79" s="160"/>
      <c r="X79" s="160"/>
      <c r="Y79" s="160"/>
    </row>
    <row r="80" spans="1:32">
      <c r="G80" s="1039" t="s">
        <v>388</v>
      </c>
      <c r="H80" s="1039"/>
      <c r="I80" s="1039"/>
      <c r="J80" s="1039"/>
      <c r="K80" s="1031" t="s">
        <v>436</v>
      </c>
      <c r="L80" s="314"/>
      <c r="N80" s="6"/>
      <c r="Q80" s="160"/>
      <c r="R80" s="153"/>
      <c r="S80" s="153"/>
      <c r="T80" s="153"/>
      <c r="W80" s="153"/>
      <c r="X80" s="153"/>
      <c r="Z80" s="160"/>
    </row>
    <row r="81" spans="2:26">
      <c r="G81" s="1039">
        <v>0</v>
      </c>
      <c r="H81" s="1039"/>
      <c r="I81" s="1039">
        <v>1</v>
      </c>
      <c r="J81" s="1039"/>
      <c r="K81" s="1032"/>
      <c r="L81" s="314"/>
      <c r="N81" s="6"/>
      <c r="Q81" s="160"/>
      <c r="R81" s="153"/>
      <c r="S81" s="153"/>
      <c r="T81" s="153"/>
      <c r="W81" s="153"/>
      <c r="X81" s="153"/>
      <c r="Z81" s="160"/>
    </row>
    <row r="82" spans="2:26">
      <c r="B82" s="1029" t="s">
        <v>437</v>
      </c>
      <c r="C82" s="315">
        <v>0</v>
      </c>
      <c r="D82" s="316" t="s">
        <v>438</v>
      </c>
      <c r="E82" s="317"/>
      <c r="F82" s="318"/>
      <c r="G82" s="1037">
        <f>COUNTIF($O$18:$Q$71,"=a")</f>
        <v>0</v>
      </c>
      <c r="H82" s="1038"/>
      <c r="I82" s="1037">
        <f>COUNTIF($O$18:$Q$71,"=c")</f>
        <v>0</v>
      </c>
      <c r="J82" s="1038"/>
      <c r="K82" s="319">
        <f>SUM(G82:J82)</f>
        <v>0</v>
      </c>
      <c r="L82" s="5"/>
      <c r="N82" s="6"/>
      <c r="Q82" s="160"/>
      <c r="R82" s="153"/>
      <c r="S82" s="153"/>
      <c r="T82" s="153"/>
      <c r="W82" s="153"/>
      <c r="X82" s="153"/>
      <c r="Z82" s="160"/>
    </row>
    <row r="83" spans="2:26">
      <c r="B83" s="1029"/>
      <c r="C83" s="251"/>
      <c r="D83" s="320" t="s">
        <v>439</v>
      </c>
      <c r="E83" s="179"/>
      <c r="F83" s="321"/>
      <c r="G83" s="1027" t="str">
        <f>IF(K86&lt;&gt;0,K82/K86*G86,"")</f>
        <v/>
      </c>
      <c r="H83" s="1028"/>
      <c r="I83" s="1027" t="str">
        <f>IF(K86&lt;&gt;0,K82/K86*I86,"")</f>
        <v/>
      </c>
      <c r="J83" s="1028"/>
      <c r="K83" s="322" t="str">
        <f>IF(G83&lt;&gt;"",G83+I83,"")</f>
        <v/>
      </c>
      <c r="L83" s="323"/>
      <c r="N83" s="6"/>
      <c r="Q83" s="160"/>
      <c r="R83" s="153"/>
      <c r="S83" s="153"/>
      <c r="T83" s="153"/>
      <c r="W83" s="153"/>
      <c r="X83" s="153"/>
      <c r="Z83" s="160"/>
    </row>
    <row r="84" spans="2:26">
      <c r="B84" s="1029"/>
      <c r="C84" s="315">
        <v>1</v>
      </c>
      <c r="D84" s="316" t="s">
        <v>438</v>
      </c>
      <c r="E84" s="317"/>
      <c r="F84" s="318"/>
      <c r="G84" s="1037">
        <f>COUNTIF($O$18:$Q$71,"=b")</f>
        <v>0</v>
      </c>
      <c r="H84" s="1038"/>
      <c r="I84" s="1037">
        <f>COUNTIF($O$18:$Q$71,"=d")</f>
        <v>0</v>
      </c>
      <c r="J84" s="1038"/>
      <c r="K84" s="319">
        <f>SUM(G84:J84)</f>
        <v>0</v>
      </c>
      <c r="L84" s="5"/>
      <c r="N84" s="6"/>
      <c r="Q84" s="160"/>
      <c r="R84" s="153"/>
      <c r="S84" s="153"/>
      <c r="T84" s="153"/>
      <c r="W84" s="153"/>
      <c r="X84" s="153"/>
      <c r="Z84" s="160"/>
    </row>
    <row r="85" spans="2:26">
      <c r="B85" s="1029"/>
      <c r="C85" s="251"/>
      <c r="D85" s="320" t="s">
        <v>439</v>
      </c>
      <c r="E85" s="179"/>
      <c r="F85" s="321"/>
      <c r="G85" s="1027" t="str">
        <f>IF(K86&lt;&gt;0,K84/K86*G86,"")</f>
        <v/>
      </c>
      <c r="H85" s="1028"/>
      <c r="I85" s="1027" t="str">
        <f>IF(K86&lt;&gt;0,K84/K86*I86,"")</f>
        <v/>
      </c>
      <c r="J85" s="1028"/>
      <c r="K85" s="322" t="str">
        <f>IF(G85&lt;&gt;"",G85+I85,"")</f>
        <v/>
      </c>
      <c r="L85" s="323"/>
      <c r="N85" s="6"/>
      <c r="Q85" s="160"/>
      <c r="R85" s="153"/>
      <c r="S85" s="153"/>
      <c r="T85" s="153"/>
      <c r="W85" s="153"/>
      <c r="X85" s="153"/>
      <c r="Z85" s="160"/>
    </row>
    <row r="86" spans="2:26">
      <c r="B86" s="1021" t="s">
        <v>436</v>
      </c>
      <c r="C86" s="1022"/>
      <c r="D86" s="316" t="s">
        <v>438</v>
      </c>
      <c r="E86" s="317"/>
      <c r="F86" s="318"/>
      <c r="G86" s="1037">
        <f>G82+G84</f>
        <v>0</v>
      </c>
      <c r="H86" s="1038"/>
      <c r="I86" s="1037">
        <f>I82+I84</f>
        <v>0</v>
      </c>
      <c r="J86" s="1038"/>
      <c r="K86" s="319">
        <f>K82+K84</f>
        <v>0</v>
      </c>
      <c r="L86" s="5"/>
      <c r="N86" s="324"/>
      <c r="O86" s="160"/>
      <c r="R86" s="153"/>
      <c r="Z86" s="160"/>
    </row>
    <row r="87" spans="2:26">
      <c r="B87" s="1023"/>
      <c r="C87" s="1024"/>
      <c r="D87" s="320" t="s">
        <v>439</v>
      </c>
      <c r="E87" s="179"/>
      <c r="F87" s="321"/>
      <c r="G87" s="1027" t="str">
        <f>IF(G83&lt;&gt;"",G83+G85,"")</f>
        <v/>
      </c>
      <c r="H87" s="1028"/>
      <c r="I87" s="1027" t="str">
        <f>IF(I83&lt;&gt;"",I83+I85,"")</f>
        <v/>
      </c>
      <c r="J87" s="1028"/>
      <c r="K87" s="322" t="str">
        <f>IF(K83&lt;&gt;"",K83+K85,"")</f>
        <v/>
      </c>
      <c r="L87" s="323"/>
      <c r="N87" s="6"/>
      <c r="O87" s="160"/>
      <c r="R87" s="153"/>
      <c r="Z87" s="160"/>
    </row>
    <row r="90" spans="2:26" ht="15.75">
      <c r="B90" s="1030" t="s">
        <v>440</v>
      </c>
      <c r="C90" s="1030"/>
      <c r="D90" s="1030"/>
      <c r="E90" s="1030"/>
      <c r="F90" s="1030"/>
      <c r="G90" s="1030"/>
      <c r="H90" s="1030"/>
      <c r="I90" s="1030"/>
      <c r="J90" s="1030"/>
      <c r="K90" s="1030"/>
    </row>
    <row r="91" spans="2:26">
      <c r="B91" s="313"/>
      <c r="C91" s="313"/>
      <c r="D91" s="313"/>
      <c r="E91" s="313"/>
      <c r="F91" s="313"/>
      <c r="G91" s="313"/>
      <c r="H91" s="313"/>
      <c r="I91" s="313"/>
      <c r="J91" s="313"/>
      <c r="K91" s="313"/>
      <c r="L91" s="5"/>
    </row>
    <row r="92" spans="2:26">
      <c r="G92" s="1039" t="s">
        <v>30</v>
      </c>
      <c r="H92" s="1039"/>
      <c r="I92" s="1039"/>
      <c r="J92" s="1039"/>
      <c r="K92" s="1031" t="s">
        <v>436</v>
      </c>
      <c r="L92" s="314"/>
      <c r="N92" s="6"/>
      <c r="O92" s="160"/>
      <c r="R92" s="153"/>
      <c r="Z92" s="160"/>
    </row>
    <row r="93" spans="2:26">
      <c r="G93" s="1039">
        <v>0</v>
      </c>
      <c r="H93" s="1039"/>
      <c r="I93" s="1039">
        <v>1</v>
      </c>
      <c r="J93" s="1039"/>
      <c r="K93" s="1032"/>
      <c r="L93" s="314"/>
      <c r="N93" s="6"/>
      <c r="O93" s="160"/>
      <c r="R93" s="153"/>
      <c r="Z93" s="160"/>
    </row>
    <row r="94" spans="2:26">
      <c r="B94" s="1029" t="s">
        <v>388</v>
      </c>
      <c r="C94" s="315">
        <v>0</v>
      </c>
      <c r="D94" s="316" t="s">
        <v>438</v>
      </c>
      <c r="E94" s="317"/>
      <c r="F94" s="318"/>
      <c r="G94" s="1025">
        <f>COUNTIF($S$18:$U$71,"=a")</f>
        <v>0</v>
      </c>
      <c r="H94" s="1026"/>
      <c r="I94" s="1025">
        <f>COUNTIF($S$18:$U$71,"=c")</f>
        <v>0</v>
      </c>
      <c r="J94" s="1026"/>
      <c r="K94" s="319">
        <f>SUM(G94:J94)</f>
        <v>0</v>
      </c>
      <c r="L94" s="5"/>
      <c r="N94" s="6"/>
      <c r="O94" s="160"/>
      <c r="R94" s="153"/>
      <c r="Z94" s="160"/>
    </row>
    <row r="95" spans="2:26">
      <c r="B95" s="1029"/>
      <c r="C95" s="251"/>
      <c r="D95" s="320" t="s">
        <v>439</v>
      </c>
      <c r="E95" s="179"/>
      <c r="F95" s="321"/>
      <c r="G95" s="1027" t="str">
        <f>IF(K98&lt;&gt;0,K94/K98*G98,"")</f>
        <v/>
      </c>
      <c r="H95" s="1028"/>
      <c r="I95" s="1027" t="str">
        <f>IF(K98&lt;&gt;0,K94/K98*I98,"")</f>
        <v/>
      </c>
      <c r="J95" s="1028"/>
      <c r="K95" s="322" t="str">
        <f>IF(G95&lt;&gt;"",G95+I95,"")</f>
        <v/>
      </c>
      <c r="L95" s="323"/>
      <c r="N95" s="6"/>
      <c r="O95" s="160"/>
      <c r="R95" s="153"/>
      <c r="Z95" s="160"/>
    </row>
    <row r="96" spans="2:26">
      <c r="B96" s="1029"/>
      <c r="C96" s="315">
        <v>1</v>
      </c>
      <c r="D96" s="316" t="s">
        <v>438</v>
      </c>
      <c r="E96" s="317"/>
      <c r="F96" s="318"/>
      <c r="G96" s="1025">
        <f>COUNTIF($S$18:$U$71,"=b")</f>
        <v>0</v>
      </c>
      <c r="H96" s="1026"/>
      <c r="I96" s="1025">
        <f>COUNTIF($S$18:$U$71,"=d")</f>
        <v>0</v>
      </c>
      <c r="J96" s="1026"/>
      <c r="K96" s="319">
        <f>SUM(G96:J96)</f>
        <v>0</v>
      </c>
      <c r="L96" s="5"/>
      <c r="N96" s="6"/>
      <c r="O96" s="160"/>
      <c r="R96" s="153"/>
      <c r="Z96" s="160"/>
    </row>
    <row r="97" spans="2:26">
      <c r="B97" s="1029"/>
      <c r="C97" s="251"/>
      <c r="D97" s="320" t="s">
        <v>439</v>
      </c>
      <c r="E97" s="179"/>
      <c r="F97" s="321"/>
      <c r="G97" s="1027" t="str">
        <f>IF(K98&lt;&gt;0,K96/K98*G98,"")</f>
        <v/>
      </c>
      <c r="H97" s="1028"/>
      <c r="I97" s="1027" t="str">
        <f>IF(K98&lt;&gt;0,K96/K98*I98,"")</f>
        <v/>
      </c>
      <c r="J97" s="1028"/>
      <c r="K97" s="322" t="str">
        <f>IF(G97&lt;&gt;"",G97+I97,"")</f>
        <v/>
      </c>
      <c r="L97" s="323"/>
      <c r="N97" s="6"/>
      <c r="O97" s="160"/>
      <c r="R97" s="153"/>
      <c r="Z97" s="160"/>
    </row>
    <row r="98" spans="2:26">
      <c r="B98" s="1021" t="s">
        <v>436</v>
      </c>
      <c r="C98" s="1022"/>
      <c r="D98" s="316" t="s">
        <v>438</v>
      </c>
      <c r="E98" s="317"/>
      <c r="F98" s="318"/>
      <c r="G98" s="1037">
        <f>G94+G96</f>
        <v>0</v>
      </c>
      <c r="H98" s="1038"/>
      <c r="I98" s="1037">
        <f>I94+I96</f>
        <v>0</v>
      </c>
      <c r="J98" s="1038"/>
      <c r="K98" s="319">
        <f>K94+K96</f>
        <v>0</v>
      </c>
      <c r="L98" s="5"/>
      <c r="N98" s="6"/>
      <c r="O98" s="160"/>
      <c r="R98" s="153"/>
      <c r="Z98" s="160"/>
    </row>
    <row r="99" spans="2:26">
      <c r="B99" s="1023"/>
      <c r="C99" s="1024"/>
      <c r="D99" s="320" t="s">
        <v>439</v>
      </c>
      <c r="E99" s="179"/>
      <c r="F99" s="321"/>
      <c r="G99" s="1027" t="str">
        <f>IF(G95&lt;&gt;"",G95+G97,"")</f>
        <v/>
      </c>
      <c r="H99" s="1028"/>
      <c r="I99" s="1027" t="str">
        <f>IF(I95&lt;&gt;"",I95+I97,"")</f>
        <v/>
      </c>
      <c r="J99" s="1028"/>
      <c r="K99" s="322" t="str">
        <f>IF(K95&lt;&gt;"",K95+K97,"")</f>
        <v/>
      </c>
      <c r="L99" s="323"/>
      <c r="N99" s="6"/>
      <c r="O99" s="160"/>
      <c r="R99" s="153"/>
      <c r="Z99" s="160"/>
    </row>
    <row r="100" spans="2:26">
      <c r="L100" s="5"/>
    </row>
    <row r="101" spans="2:26">
      <c r="L101" s="5"/>
    </row>
    <row r="102" spans="2:26">
      <c r="L102" s="5"/>
    </row>
    <row r="103" spans="2:26" ht="15.75">
      <c r="B103" s="1030" t="s">
        <v>441</v>
      </c>
      <c r="C103" s="1030"/>
      <c r="D103" s="1030"/>
      <c r="E103" s="1030"/>
      <c r="F103" s="1030"/>
      <c r="G103" s="1030"/>
      <c r="H103" s="1030"/>
      <c r="I103" s="1030"/>
      <c r="J103" s="1030"/>
      <c r="K103" s="1030"/>
      <c r="L103" s="5"/>
    </row>
    <row r="104" spans="2:26">
      <c r="B104" s="313"/>
      <c r="C104" s="313"/>
      <c r="D104" s="313"/>
      <c r="E104" s="313"/>
      <c r="F104" s="313"/>
      <c r="G104" s="313"/>
      <c r="H104" s="313"/>
      <c r="I104" s="313"/>
      <c r="J104" s="313"/>
      <c r="K104" s="313"/>
      <c r="L104" s="5"/>
    </row>
    <row r="105" spans="2:26">
      <c r="G105" s="1039" t="s">
        <v>30</v>
      </c>
      <c r="H105" s="1039"/>
      <c r="I105" s="1039"/>
      <c r="J105" s="1039"/>
      <c r="K105" s="1031" t="s">
        <v>436</v>
      </c>
      <c r="L105" s="314"/>
      <c r="N105" s="6"/>
      <c r="O105" s="160"/>
      <c r="R105" s="153"/>
      <c r="Z105" s="160"/>
    </row>
    <row r="106" spans="2:26">
      <c r="G106" s="1039">
        <v>0</v>
      </c>
      <c r="H106" s="1039"/>
      <c r="I106" s="1039">
        <v>1</v>
      </c>
      <c r="J106" s="1039"/>
      <c r="K106" s="1032"/>
      <c r="L106" s="314"/>
      <c r="N106" s="6"/>
      <c r="O106" s="160"/>
      <c r="R106" s="153"/>
      <c r="Z106" s="160"/>
    </row>
    <row r="107" spans="2:26">
      <c r="B107" s="1029" t="s">
        <v>437</v>
      </c>
      <c r="C107" s="315">
        <v>0</v>
      </c>
      <c r="D107" s="316" t="s">
        <v>438</v>
      </c>
      <c r="E107" s="317"/>
      <c r="F107" s="318"/>
      <c r="G107" s="1025">
        <f>COUNTIF($W$18:$Y$71,"=a")</f>
        <v>0</v>
      </c>
      <c r="H107" s="1026"/>
      <c r="I107" s="1025">
        <f>COUNTIF($W$18:$Y$71,"=c")</f>
        <v>0</v>
      </c>
      <c r="J107" s="1026"/>
      <c r="K107" s="319">
        <f>SUM(G107:J107)</f>
        <v>0</v>
      </c>
      <c r="L107" s="5"/>
      <c r="N107" s="6"/>
      <c r="O107" s="160"/>
      <c r="R107" s="153"/>
      <c r="Z107" s="160"/>
    </row>
    <row r="108" spans="2:26">
      <c r="B108" s="1029"/>
      <c r="C108" s="251"/>
      <c r="D108" s="320" t="s">
        <v>439</v>
      </c>
      <c r="E108" s="179"/>
      <c r="F108" s="321"/>
      <c r="G108" s="1027" t="str">
        <f>IF(K111&lt;&gt;0,K107/K111*G111,"")</f>
        <v/>
      </c>
      <c r="H108" s="1028"/>
      <c r="I108" s="1027" t="str">
        <f>IF(K111&lt;&gt;0,K107/K111*I111,"")</f>
        <v/>
      </c>
      <c r="J108" s="1028"/>
      <c r="K108" s="322" t="str">
        <f>IF(G108&lt;&gt;"",G108+I108,"")</f>
        <v/>
      </c>
      <c r="L108" s="323"/>
      <c r="N108" s="6"/>
      <c r="O108" s="160"/>
      <c r="R108" s="153"/>
      <c r="Z108" s="160"/>
    </row>
    <row r="109" spans="2:26">
      <c r="B109" s="1029"/>
      <c r="C109" s="315">
        <v>1</v>
      </c>
      <c r="D109" s="316" t="s">
        <v>438</v>
      </c>
      <c r="E109" s="317"/>
      <c r="F109" s="318"/>
      <c r="G109" s="1025">
        <f>COUNTIF($W$18:$Y$71,"=b")</f>
        <v>0</v>
      </c>
      <c r="H109" s="1026"/>
      <c r="I109" s="1025">
        <f>COUNTIF($W$18:$Y$71,"=d")</f>
        <v>0</v>
      </c>
      <c r="J109" s="1026"/>
      <c r="K109" s="319">
        <f>SUM(G109:J109)</f>
        <v>0</v>
      </c>
      <c r="L109" s="5"/>
      <c r="N109" s="6"/>
      <c r="O109" s="160"/>
      <c r="R109" s="153"/>
      <c r="Z109" s="160"/>
    </row>
    <row r="110" spans="2:26">
      <c r="B110" s="1029"/>
      <c r="C110" s="251"/>
      <c r="D110" s="320" t="s">
        <v>439</v>
      </c>
      <c r="E110" s="179"/>
      <c r="F110" s="321"/>
      <c r="G110" s="1027" t="str">
        <f>IF(K111&lt;&gt;0,K109/K111*G111,"")</f>
        <v/>
      </c>
      <c r="H110" s="1028"/>
      <c r="I110" s="1027" t="str">
        <f>IF(K111&lt;&gt;0,K109/K111*I111,"")</f>
        <v/>
      </c>
      <c r="J110" s="1028"/>
      <c r="K110" s="322" t="str">
        <f>IF(G110&lt;&gt;"",G110+I110,"")</f>
        <v/>
      </c>
      <c r="L110" s="323"/>
      <c r="N110" s="6"/>
      <c r="O110" s="160"/>
      <c r="R110" s="153"/>
      <c r="Z110" s="160"/>
    </row>
    <row r="111" spans="2:26">
      <c r="B111" s="1021" t="s">
        <v>436</v>
      </c>
      <c r="C111" s="1022"/>
      <c r="D111" s="316" t="s">
        <v>438</v>
      </c>
      <c r="E111" s="317"/>
      <c r="F111" s="318"/>
      <c r="G111" s="1037">
        <f>G107+G109</f>
        <v>0</v>
      </c>
      <c r="H111" s="1038"/>
      <c r="I111" s="1037">
        <f>I107+I109</f>
        <v>0</v>
      </c>
      <c r="J111" s="1038"/>
      <c r="K111" s="319">
        <f>K107+K109</f>
        <v>0</v>
      </c>
      <c r="L111" s="5"/>
      <c r="N111" s="6"/>
      <c r="O111" s="160"/>
      <c r="R111" s="153"/>
      <c r="Z111" s="160"/>
    </row>
    <row r="112" spans="2:26">
      <c r="B112" s="1023"/>
      <c r="C112" s="1024"/>
      <c r="D112" s="320" t="s">
        <v>439</v>
      </c>
      <c r="E112" s="179"/>
      <c r="F112" s="321"/>
      <c r="G112" s="1027" t="str">
        <f>IF(G108&lt;&gt;"",G108+G110,"")</f>
        <v/>
      </c>
      <c r="H112" s="1028"/>
      <c r="I112" s="1027" t="str">
        <f>IF(I108&lt;&gt;"",I108+I110,"")</f>
        <v/>
      </c>
      <c r="J112" s="1028"/>
      <c r="K112" s="322" t="str">
        <f>IF(K108&lt;&gt;"",K108+K110,"")</f>
        <v/>
      </c>
      <c r="L112" s="323"/>
      <c r="N112" s="6"/>
      <c r="O112" s="160"/>
      <c r="R112" s="153"/>
      <c r="Z112" s="160"/>
    </row>
    <row r="113" spans="2:12">
      <c r="L113" s="5"/>
    </row>
    <row r="115" spans="2:12">
      <c r="B115" s="1052" t="s">
        <v>442</v>
      </c>
      <c r="C115" s="1053"/>
      <c r="D115" s="1039" t="s">
        <v>437</v>
      </c>
      <c r="E115" s="1039"/>
      <c r="F115" s="1039" t="s">
        <v>388</v>
      </c>
      <c r="G115" s="1039"/>
      <c r="H115" s="1039" t="s">
        <v>30</v>
      </c>
      <c r="I115" s="1039"/>
      <c r="K115" s="1"/>
      <c r="L115" s="1"/>
    </row>
    <row r="116" spans="2:12">
      <c r="B116" s="1039" t="s">
        <v>437</v>
      </c>
      <c r="C116" s="1039"/>
      <c r="D116" s="1043" t="s">
        <v>443</v>
      </c>
      <c r="E116" s="1042"/>
      <c r="F116" s="1044" t="str">
        <f>IF(G86&lt;&gt;0,((G82+I84)/K86-(G83+I85)/K87)/(1-(G83+I85)/K87),"")</f>
        <v/>
      </c>
      <c r="G116" s="1045"/>
      <c r="H116" s="1044" t="str">
        <f>IF(G111&lt;&gt;0,((G107+I109)/K111-(G108+I110)/K112)/(1-(G108+I110)/K112),"")</f>
        <v/>
      </c>
      <c r="I116" s="1045"/>
      <c r="K116" s="1"/>
      <c r="L116" s="1"/>
    </row>
    <row r="117" spans="2:12">
      <c r="B117" s="1039" t="s">
        <v>388</v>
      </c>
      <c r="C117" s="1039"/>
      <c r="D117" s="1044" t="str">
        <f>F116</f>
        <v/>
      </c>
      <c r="E117" s="1045"/>
      <c r="F117" s="1043" t="s">
        <v>443</v>
      </c>
      <c r="G117" s="1042"/>
      <c r="H117" s="1044" t="str">
        <f>IF(G98&lt;&gt;0,((G94+I96)/K98-(G95+I97)/K99)/(1-(G95+I97)/K99),"")</f>
        <v/>
      </c>
      <c r="I117" s="1045"/>
      <c r="K117" s="1"/>
      <c r="L117" s="1"/>
    </row>
    <row r="118" spans="2:12">
      <c r="B118" s="1039" t="s">
        <v>30</v>
      </c>
      <c r="C118" s="1039"/>
      <c r="D118" s="1044" t="str">
        <f>H116</f>
        <v/>
      </c>
      <c r="E118" s="1045"/>
      <c r="F118" s="1044" t="str">
        <f>H117</f>
        <v/>
      </c>
      <c r="G118" s="1045"/>
      <c r="H118" s="1043" t="s">
        <v>443</v>
      </c>
      <c r="I118" s="1042"/>
    </row>
    <row r="121" spans="2:12">
      <c r="B121" s="1039" t="s">
        <v>444</v>
      </c>
      <c r="C121" s="1039"/>
      <c r="D121" s="1039"/>
      <c r="E121" s="1039"/>
      <c r="F121" s="72"/>
      <c r="G121" s="72"/>
      <c r="H121" s="72"/>
      <c r="I121" s="72"/>
      <c r="J121" s="72"/>
      <c r="K121" s="72"/>
      <c r="L121" s="72"/>
    </row>
    <row r="122" spans="2:12">
      <c r="B122" s="270" t="s">
        <v>445</v>
      </c>
      <c r="C122" s="1040" t="str">
        <f>IF(F116&lt;&gt;"",IF(F116&gt;0.7,"Good Agreement",IF(F116&lt;0.4,"Poor Agreement","Some Agreement")),"")</f>
        <v/>
      </c>
      <c r="D122" s="1041"/>
      <c r="E122" s="1042"/>
    </row>
    <row r="123" spans="2:12">
      <c r="B123" s="270" t="s">
        <v>446</v>
      </c>
      <c r="C123" s="1040" t="str">
        <f>IF(H117&lt;&gt;"",IF(H116&gt;0.7,"Good Agreement",IF(H116&lt;0.4,"Poor Agreement","Some Agreement")),"")</f>
        <v/>
      </c>
      <c r="D123" s="1041"/>
      <c r="E123" s="1042"/>
    </row>
    <row r="124" spans="2:12">
      <c r="B124" s="270" t="s">
        <v>447</v>
      </c>
      <c r="C124" s="1040" t="str">
        <f>IF(F118&lt;&gt;"",IF(F118&gt;0.7,"Good Agreement",IF(F118&lt;0.4,"Poor Agreement","Some Agreement")),"")</f>
        <v/>
      </c>
      <c r="D124" s="1041"/>
      <c r="E124" s="1042"/>
    </row>
    <row r="127" spans="2:12">
      <c r="H127" s="133"/>
      <c r="I127" s="133"/>
      <c r="J127" s="133"/>
      <c r="K127" s="133"/>
      <c r="L127" s="133"/>
    </row>
    <row r="128" spans="2:12">
      <c r="H128" s="326" t="s">
        <v>448</v>
      </c>
      <c r="I128" s="326"/>
      <c r="J128" s="326"/>
      <c r="K128" s="326"/>
      <c r="L128" s="327" t="s">
        <v>21</v>
      </c>
    </row>
  </sheetData>
  <mergeCells count="83">
    <mergeCell ref="B116:C116"/>
    <mergeCell ref="B115:C115"/>
    <mergeCell ref="B98:C99"/>
    <mergeCell ref="G109:H109"/>
    <mergeCell ref="D115:E115"/>
    <mergeCell ref="F115:G115"/>
    <mergeCell ref="G112:H112"/>
    <mergeCell ref="G105:J105"/>
    <mergeCell ref="G106:H106"/>
    <mergeCell ref="I106:J106"/>
    <mergeCell ref="I110:J110"/>
    <mergeCell ref="I108:J108"/>
    <mergeCell ref="G107:H107"/>
    <mergeCell ref="G110:H110"/>
    <mergeCell ref="I98:J98"/>
    <mergeCell ref="G98:H98"/>
    <mergeCell ref="H117:I117"/>
    <mergeCell ref="A1:M7"/>
    <mergeCell ref="D117:E117"/>
    <mergeCell ref="D116:E116"/>
    <mergeCell ref="B90:K90"/>
    <mergeCell ref="B82:B85"/>
    <mergeCell ref="I111:J111"/>
    <mergeCell ref="I112:J112"/>
    <mergeCell ref="A10:C10"/>
    <mergeCell ref="B117:C117"/>
    <mergeCell ref="F116:G116"/>
    <mergeCell ref="H115:I115"/>
    <mergeCell ref="F117:G117"/>
    <mergeCell ref="H116:I116"/>
    <mergeCell ref="B111:C112"/>
    <mergeCell ref="G111:H111"/>
    <mergeCell ref="C124:E124"/>
    <mergeCell ref="C123:E123"/>
    <mergeCell ref="B121:E121"/>
    <mergeCell ref="C122:E122"/>
    <mergeCell ref="H118:I118"/>
    <mergeCell ref="D118:E118"/>
    <mergeCell ref="B118:C118"/>
    <mergeCell ref="F118:G118"/>
    <mergeCell ref="G85:H85"/>
    <mergeCell ref="I84:J84"/>
    <mergeCell ref="G86:H86"/>
    <mergeCell ref="G84:H84"/>
    <mergeCell ref="I85:J85"/>
    <mergeCell ref="G92:J92"/>
    <mergeCell ref="G93:H93"/>
    <mergeCell ref="I86:J86"/>
    <mergeCell ref="I93:J93"/>
    <mergeCell ref="I87:J87"/>
    <mergeCell ref="G87:H87"/>
    <mergeCell ref="I95:J95"/>
    <mergeCell ref="G95:H95"/>
    <mergeCell ref="H14:J14"/>
    <mergeCell ref="A16:M16"/>
    <mergeCell ref="A60:M60"/>
    <mergeCell ref="E14:G14"/>
    <mergeCell ref="G82:H82"/>
    <mergeCell ref="I82:J82"/>
    <mergeCell ref="K80:K81"/>
    <mergeCell ref="G81:H81"/>
    <mergeCell ref="I81:J81"/>
    <mergeCell ref="B78:K78"/>
    <mergeCell ref="G80:J80"/>
    <mergeCell ref="G83:H83"/>
    <mergeCell ref="I83:J83"/>
    <mergeCell ref="K92:K93"/>
    <mergeCell ref="B86:C87"/>
    <mergeCell ref="I109:J109"/>
    <mergeCell ref="I107:J107"/>
    <mergeCell ref="G108:H108"/>
    <mergeCell ref="B94:B97"/>
    <mergeCell ref="G99:H99"/>
    <mergeCell ref="I99:J99"/>
    <mergeCell ref="B103:K103"/>
    <mergeCell ref="K105:K106"/>
    <mergeCell ref="B107:B110"/>
    <mergeCell ref="I97:J97"/>
    <mergeCell ref="G97:H97"/>
    <mergeCell ref="I96:J96"/>
    <mergeCell ref="G94:H94"/>
    <mergeCell ref="I94:J94"/>
    <mergeCell ref="G96:H96"/>
  </mergeCells>
  <phoneticPr fontId="26" type="noConversion"/>
  <printOptions horizontalCentered="1" verticalCentered="1"/>
  <pageMargins left="0.25" right="0.25" top="0.41" bottom="0.8125" header="0.17" footer="0.16"/>
  <pageSetup scale="96" fitToHeight="3" orientation="portrait" r:id="rId1"/>
  <headerFooter alignWithMargins="0">
    <oddFooter xml:space="preserve">&amp;L&amp;6&amp;Z&amp;F&amp;CQAI_6012 AAR Mobility PPAP Workbook
</oddFooter>
  </headerFooter>
  <rowBreaks count="2" manualBreakCount="2">
    <brk id="58" max="16383" man="1"/>
    <brk id="72" max="16383" man="1"/>
  </rowBreaks>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indexed="13"/>
    <pageSetUpPr fitToPage="1"/>
  </sheetPr>
  <dimension ref="A1:AA47"/>
  <sheetViews>
    <sheetView zoomScaleNormal="100" workbookViewId="0">
      <selection activeCell="O21" sqref="O21"/>
    </sheetView>
  </sheetViews>
  <sheetFormatPr defaultColWidth="9.140625" defaultRowHeight="12.75"/>
  <cols>
    <col min="1" max="1" width="7.5703125" style="1" customWidth="1"/>
    <col min="2" max="2" width="4.85546875" style="1" customWidth="1"/>
    <col min="3" max="12" width="6.28515625" style="1" customWidth="1"/>
    <col min="13" max="13" width="5.28515625" style="1" customWidth="1"/>
    <col min="14" max="14" width="9.140625" style="1"/>
    <col min="15" max="21" width="7.7109375" style="1" customWidth="1"/>
    <col min="22" max="22" width="9.28515625" style="1" customWidth="1"/>
    <col min="23" max="23" width="8.28515625" style="1" customWidth="1"/>
    <col min="24" max="25" width="9.28515625" style="1" customWidth="1"/>
    <col min="26" max="16384" width="9.140625" style="1"/>
  </cols>
  <sheetData>
    <row r="1" spans="1:26">
      <c r="A1" s="1020"/>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row>
    <row r="2" spans="1:26">
      <c r="A2" s="1020"/>
      <c r="B2" s="1020"/>
      <c r="C2" s="1020"/>
      <c r="D2" s="1020"/>
      <c r="E2" s="1020"/>
      <c r="F2" s="1020"/>
      <c r="G2" s="1020"/>
      <c r="H2" s="1020"/>
      <c r="I2" s="1020"/>
      <c r="J2" s="1020"/>
      <c r="K2" s="1020"/>
      <c r="L2" s="1020"/>
      <c r="M2" s="1020"/>
      <c r="N2" s="1020"/>
      <c r="O2" s="1020"/>
      <c r="P2" s="1020"/>
      <c r="Q2" s="1020"/>
      <c r="R2" s="1020"/>
      <c r="S2" s="1020"/>
      <c r="T2" s="1020"/>
      <c r="U2" s="1020"/>
      <c r="V2" s="1020"/>
      <c r="W2" s="1020"/>
      <c r="X2" s="1020"/>
      <c r="Y2" s="1020"/>
    </row>
    <row r="3" spans="1:26">
      <c r="A3" s="1020"/>
      <c r="B3" s="1020"/>
      <c r="C3" s="1020"/>
      <c r="D3" s="1020"/>
      <c r="E3" s="1020"/>
      <c r="F3" s="1020"/>
      <c r="G3" s="1020"/>
      <c r="H3" s="1020"/>
      <c r="I3" s="1020"/>
      <c r="J3" s="1020"/>
      <c r="K3" s="1020"/>
      <c r="L3" s="1020"/>
      <c r="M3" s="1020"/>
      <c r="N3" s="1020"/>
      <c r="O3" s="1020"/>
      <c r="P3" s="1020"/>
      <c r="Q3" s="1020"/>
      <c r="R3" s="1020"/>
      <c r="S3" s="1020"/>
      <c r="T3" s="1020"/>
      <c r="U3" s="1020"/>
      <c r="V3" s="1020"/>
      <c r="W3" s="1020"/>
      <c r="X3" s="1020"/>
      <c r="Y3" s="1020"/>
    </row>
    <row r="4" spans="1:26" ht="33" customHeight="1">
      <c r="A4" s="1020"/>
      <c r="B4" s="1020"/>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5" spans="1:26" ht="18">
      <c r="A5" s="328" t="s">
        <v>449</v>
      </c>
      <c r="B5" s="134"/>
      <c r="C5" s="134"/>
      <c r="D5" s="134"/>
      <c r="E5" s="134"/>
      <c r="F5" s="134"/>
      <c r="G5" s="134"/>
      <c r="H5" s="134"/>
      <c r="I5" s="134"/>
      <c r="J5" s="134"/>
      <c r="K5" s="134"/>
      <c r="L5" s="134"/>
      <c r="M5" s="134"/>
      <c r="N5" s="134"/>
      <c r="O5" s="328" t="s">
        <v>449</v>
      </c>
      <c r="P5" s="134"/>
      <c r="Q5" s="134"/>
      <c r="R5" s="134"/>
      <c r="S5" s="134"/>
      <c r="T5" s="134"/>
      <c r="U5" s="134"/>
      <c r="V5" s="134"/>
      <c r="W5" s="134"/>
      <c r="X5" s="134"/>
      <c r="Y5" s="134"/>
    </row>
    <row r="6" spans="1:26" ht="18">
      <c r="A6" s="328" t="s">
        <v>450</v>
      </c>
      <c r="B6" s="134"/>
      <c r="C6" s="134"/>
      <c r="D6" s="134"/>
      <c r="E6" s="134"/>
      <c r="F6" s="134"/>
      <c r="G6" s="134"/>
      <c r="H6" s="134"/>
      <c r="I6" s="134"/>
      <c r="J6" s="134"/>
      <c r="K6" s="134"/>
      <c r="L6" s="134"/>
      <c r="M6" s="134"/>
      <c r="N6" s="134"/>
      <c r="O6" s="328" t="s">
        <v>450</v>
      </c>
      <c r="P6" s="134"/>
      <c r="Q6" s="134"/>
      <c r="R6" s="134"/>
      <c r="S6" s="134"/>
      <c r="T6" s="134"/>
      <c r="U6" s="134"/>
      <c r="V6" s="134"/>
      <c r="W6" s="134"/>
      <c r="X6" s="134"/>
      <c r="Y6" s="134"/>
    </row>
    <row r="8" spans="1:26" s="160" customFormat="1" ht="11.25">
      <c r="A8" s="161" t="s">
        <v>95</v>
      </c>
      <c r="B8" s="162"/>
      <c r="C8" s="162"/>
      <c r="D8" s="162"/>
      <c r="E8" s="163"/>
      <c r="F8" s="161" t="s">
        <v>371</v>
      </c>
      <c r="G8" s="162"/>
      <c r="H8" s="162"/>
      <c r="I8" s="163"/>
      <c r="J8" s="161" t="s">
        <v>412</v>
      </c>
      <c r="K8" s="162"/>
      <c r="L8" s="162"/>
      <c r="M8" s="162"/>
      <c r="N8" s="163"/>
      <c r="O8" s="161" t="s">
        <v>95</v>
      </c>
      <c r="P8" s="162"/>
      <c r="Q8" s="163"/>
      <c r="R8" s="161" t="s">
        <v>371</v>
      </c>
      <c r="S8" s="162"/>
      <c r="T8" s="162"/>
      <c r="U8" s="163"/>
      <c r="V8" s="161" t="s">
        <v>412</v>
      </c>
      <c r="W8" s="162"/>
      <c r="X8" s="162"/>
      <c r="Y8" s="163"/>
      <c r="Z8" s="12"/>
    </row>
    <row r="9" spans="1:26">
      <c r="A9" s="837" t="s">
        <v>869</v>
      </c>
      <c r="B9" s="838"/>
      <c r="C9" s="838"/>
      <c r="D9" s="113"/>
      <c r="E9" s="114"/>
      <c r="F9" s="170"/>
      <c r="G9" s="253"/>
      <c r="H9" s="253"/>
      <c r="I9" s="254"/>
      <c r="J9" s="170"/>
      <c r="K9" s="253"/>
      <c r="L9" s="253"/>
      <c r="M9" s="253"/>
      <c r="N9" s="254"/>
      <c r="O9" s="112" t="s">
        <v>869</v>
      </c>
      <c r="P9" s="113"/>
      <c r="Q9" s="114"/>
      <c r="R9" s="112" t="str">
        <f>IF(F9&lt;&gt;"",F9,"")</f>
        <v/>
      </c>
      <c r="S9" s="113"/>
      <c r="T9" s="113"/>
      <c r="U9" s="114"/>
      <c r="V9" s="112" t="str">
        <f>IF(J9&lt;&gt;"",J9,"")</f>
        <v/>
      </c>
      <c r="W9" s="113"/>
      <c r="X9" s="113"/>
      <c r="Y9" s="114"/>
      <c r="Z9" s="4"/>
    </row>
    <row r="10" spans="1:26" s="160" customFormat="1" ht="11.25">
      <c r="A10" s="161" t="s">
        <v>93</v>
      </c>
      <c r="B10" s="162"/>
      <c r="C10" s="162"/>
      <c r="D10" s="162"/>
      <c r="E10" s="163"/>
      <c r="F10" s="161" t="s">
        <v>373</v>
      </c>
      <c r="G10" s="162"/>
      <c r="H10" s="162"/>
      <c r="I10" s="163"/>
      <c r="J10" s="161" t="s">
        <v>413</v>
      </c>
      <c r="K10" s="162"/>
      <c r="L10" s="162"/>
      <c r="M10" s="162"/>
      <c r="N10" s="163"/>
      <c r="O10" s="161" t="s">
        <v>93</v>
      </c>
      <c r="P10" s="162"/>
      <c r="Q10" s="163"/>
      <c r="R10" s="161" t="s">
        <v>373</v>
      </c>
      <c r="S10" s="162"/>
      <c r="T10" s="162"/>
      <c r="U10" s="163"/>
      <c r="V10" s="161" t="s">
        <v>413</v>
      </c>
      <c r="W10" s="162"/>
      <c r="X10" s="162"/>
      <c r="Y10" s="163"/>
      <c r="Z10" s="12"/>
    </row>
    <row r="11" spans="1:26">
      <c r="A11" s="112" t="s">
        <v>869</v>
      </c>
      <c r="B11" s="113"/>
      <c r="C11" s="113"/>
      <c r="D11" s="113"/>
      <c r="E11" s="114"/>
      <c r="F11" s="170"/>
      <c r="G11" s="253"/>
      <c r="H11" s="253"/>
      <c r="I11" s="254"/>
      <c r="J11" s="170"/>
      <c r="K11" s="253"/>
      <c r="L11" s="253"/>
      <c r="M11" s="253"/>
      <c r="N11" s="254"/>
      <c r="O11" s="112" t="s">
        <v>869</v>
      </c>
      <c r="P11" s="113"/>
      <c r="Q11" s="114"/>
      <c r="R11" s="112" t="str">
        <f>IF(F11&lt;&gt;"",F11,"")</f>
        <v/>
      </c>
      <c r="S11" s="113"/>
      <c r="T11" s="113"/>
      <c r="U11" s="114"/>
      <c r="V11" s="112" t="str">
        <f>IF(J11&lt;&gt;"",J11,"")</f>
        <v/>
      </c>
      <c r="W11" s="113"/>
      <c r="X11" s="113"/>
      <c r="Y11" s="114"/>
      <c r="Z11" s="4"/>
    </row>
    <row r="12" spans="1:26" s="160" customFormat="1">
      <c r="A12" s="161" t="s">
        <v>375</v>
      </c>
      <c r="B12" s="162"/>
      <c r="C12" s="162"/>
      <c r="D12" s="329" t="s">
        <v>451</v>
      </c>
      <c r="E12" s="330"/>
      <c r="F12" s="161" t="s">
        <v>376</v>
      </c>
      <c r="G12" s="162"/>
      <c r="H12" s="162"/>
      <c r="I12" s="163"/>
      <c r="J12" s="161" t="s">
        <v>416</v>
      </c>
      <c r="K12" s="162"/>
      <c r="L12" s="162"/>
      <c r="M12" s="162"/>
      <c r="N12" s="163"/>
      <c r="O12" s="161" t="s">
        <v>375</v>
      </c>
      <c r="P12" s="116"/>
      <c r="Q12" s="117"/>
      <c r="R12" s="161" t="s">
        <v>376</v>
      </c>
      <c r="S12" s="162"/>
      <c r="T12" s="162"/>
      <c r="U12" s="163"/>
      <c r="V12" s="161" t="s">
        <v>416</v>
      </c>
      <c r="W12" s="162"/>
      <c r="X12" s="162"/>
      <c r="Y12" s="163"/>
      <c r="Z12" s="12"/>
    </row>
    <row r="13" spans="1:26">
      <c r="A13" s="170"/>
      <c r="B13" s="253"/>
      <c r="C13" s="253"/>
      <c r="D13" s="488" t="s">
        <v>452</v>
      </c>
      <c r="E13" s="489" t="s">
        <v>453</v>
      </c>
      <c r="F13" s="170"/>
      <c r="G13" s="253"/>
      <c r="H13" s="253"/>
      <c r="I13" s="254"/>
      <c r="J13" s="170"/>
      <c r="K13" s="253"/>
      <c r="L13" s="253"/>
      <c r="M13" s="253"/>
      <c r="N13" s="254"/>
      <c r="O13" s="112" t="str">
        <f>IF(A13&lt;&gt;"",A13,"")</f>
        <v/>
      </c>
      <c r="P13" s="113"/>
      <c r="Q13" s="114"/>
      <c r="R13" s="112" t="str">
        <f>IF(F13&lt;&gt;"",F13,"")</f>
        <v/>
      </c>
      <c r="S13" s="113"/>
      <c r="T13" s="113"/>
      <c r="U13" s="114"/>
      <c r="V13" s="112" t="str">
        <f>IF(J13&lt;&gt;"",J13,"")</f>
        <v/>
      </c>
      <c r="W13" s="113"/>
      <c r="X13" s="113"/>
      <c r="Y13" s="114"/>
      <c r="Z13" s="4"/>
    </row>
    <row r="14" spans="1:26">
      <c r="A14" s="161" t="s">
        <v>454</v>
      </c>
      <c r="B14" s="162"/>
      <c r="C14" s="162"/>
      <c r="D14" s="162"/>
      <c r="E14" s="163"/>
      <c r="F14" s="161" t="s">
        <v>455</v>
      </c>
      <c r="G14" s="163"/>
      <c r="H14" s="161" t="s">
        <v>456</v>
      </c>
      <c r="I14" s="163"/>
      <c r="J14" s="161" t="s">
        <v>457</v>
      </c>
      <c r="K14" s="163"/>
      <c r="L14" s="161" t="s">
        <v>374</v>
      </c>
      <c r="M14" s="162"/>
      <c r="N14" s="163"/>
      <c r="O14" s="161" t="s">
        <v>454</v>
      </c>
      <c r="P14" s="116"/>
      <c r="Q14" s="117"/>
      <c r="R14" s="161" t="s">
        <v>455</v>
      </c>
      <c r="S14" s="163"/>
      <c r="T14" s="161" t="s">
        <v>456</v>
      </c>
      <c r="U14" s="163"/>
      <c r="V14" s="161" t="s">
        <v>457</v>
      </c>
      <c r="W14" s="163"/>
      <c r="X14" s="161" t="s">
        <v>374</v>
      </c>
      <c r="Y14" s="163"/>
      <c r="Z14" s="12"/>
    </row>
    <row r="15" spans="1:26">
      <c r="A15" s="170"/>
      <c r="B15" s="253"/>
      <c r="C15" s="253"/>
      <c r="D15" s="253"/>
      <c r="E15" s="254"/>
      <c r="F15" s="331" t="str">
        <f>IF(C19&lt;&gt;"",COUNT(C19:C21),"")</f>
        <v/>
      </c>
      <c r="G15" s="332"/>
      <c r="H15" s="331" t="str">
        <f>IF(C19&lt;&gt;"",COUNT(C19:L19),"")</f>
        <v/>
      </c>
      <c r="I15" s="332"/>
      <c r="J15" s="331" t="str">
        <f>IF(C19&lt;&gt;"",COUNT(C19,C24,C29),"")</f>
        <v/>
      </c>
      <c r="K15" s="333"/>
      <c r="L15" s="170"/>
      <c r="M15" s="253"/>
      <c r="N15" s="254"/>
      <c r="O15" s="112" t="str">
        <f>IF(A15&lt;&gt;"",A15,"")</f>
        <v/>
      </c>
      <c r="P15" s="113"/>
      <c r="Q15" s="114"/>
      <c r="R15" s="334" t="str">
        <f>F15</f>
        <v/>
      </c>
      <c r="S15" s="333"/>
      <c r="T15" s="334" t="str">
        <f>H15</f>
        <v/>
      </c>
      <c r="U15" s="333"/>
      <c r="V15" s="334" t="str">
        <f>J15</f>
        <v/>
      </c>
      <c r="W15" s="333"/>
      <c r="X15" s="112" t="str">
        <f>IF(L15&lt;&gt;"",L15,"")</f>
        <v/>
      </c>
      <c r="Y15" s="114"/>
      <c r="Z15" s="4"/>
    </row>
    <row r="16" spans="1:26" ht="13.5" thickBot="1">
      <c r="A16" s="4"/>
      <c r="B16" s="4"/>
      <c r="C16" s="4"/>
      <c r="D16" s="335"/>
      <c r="E16" s="335" t="str">
        <f>IF(D13&gt;E13,"ENTER LOWER TOLERANCE IN D9","")</f>
        <v/>
      </c>
      <c r="F16" s="4" t="str">
        <f>IF(C19&lt;&gt;"",IF(F15*H15*J15&lt;90,"DERIVED RESULTS MAY NOT BE STATISTICALLY SOUND",""),"")</f>
        <v/>
      </c>
      <c r="G16" s="5"/>
      <c r="H16" s="4"/>
      <c r="I16" s="5"/>
      <c r="J16" s="4"/>
      <c r="K16" s="5"/>
      <c r="L16" s="4"/>
      <c r="M16" s="4"/>
      <c r="N16" s="4"/>
      <c r="O16" s="4"/>
      <c r="P16" s="4"/>
      <c r="Q16" s="4"/>
      <c r="R16" s="4"/>
      <c r="S16" s="5"/>
      <c r="T16" s="4"/>
      <c r="U16" s="5"/>
      <c r="V16" s="4"/>
      <c r="W16" s="5"/>
      <c r="X16" s="4"/>
      <c r="Y16" s="4"/>
      <c r="Z16" s="4"/>
    </row>
    <row r="17" spans="1:25" ht="15.75">
      <c r="A17" s="336" t="s">
        <v>458</v>
      </c>
      <c r="B17" s="199"/>
      <c r="C17" s="490" t="s">
        <v>307</v>
      </c>
      <c r="D17" s="338"/>
      <c r="E17" s="338"/>
      <c r="F17" s="338"/>
      <c r="G17" s="338"/>
      <c r="H17" s="338"/>
      <c r="I17" s="338"/>
      <c r="J17" s="338"/>
      <c r="K17" s="338"/>
      <c r="L17" s="339"/>
      <c r="M17" s="340" t="s">
        <v>459</v>
      </c>
      <c r="N17" s="341"/>
      <c r="O17" s="342"/>
      <c r="P17" s="343"/>
      <c r="Q17" s="343"/>
      <c r="R17" s="344" t="s">
        <v>385</v>
      </c>
      <c r="S17" s="343"/>
      <c r="T17" s="343"/>
      <c r="U17" s="345"/>
      <c r="V17" s="346" t="s">
        <v>460</v>
      </c>
      <c r="W17" s="347"/>
      <c r="X17" s="348"/>
      <c r="Y17" s="349"/>
    </row>
    <row r="18" spans="1:25" ht="15.75" customHeight="1" thickBot="1">
      <c r="A18" s="350" t="s">
        <v>461</v>
      </c>
      <c r="B18" s="351"/>
      <c r="C18" s="352">
        <v>1</v>
      </c>
      <c r="D18" s="352">
        <v>2</v>
      </c>
      <c r="E18" s="352">
        <v>3</v>
      </c>
      <c r="F18" s="352">
        <v>4</v>
      </c>
      <c r="G18" s="352">
        <v>5</v>
      </c>
      <c r="H18" s="352">
        <v>6</v>
      </c>
      <c r="I18" s="352">
        <v>7</v>
      </c>
      <c r="J18" s="352">
        <v>8</v>
      </c>
      <c r="K18" s="352">
        <v>9</v>
      </c>
      <c r="L18" s="352">
        <v>10</v>
      </c>
      <c r="M18" s="108"/>
      <c r="N18" s="353"/>
      <c r="O18" s="354" t="s">
        <v>462</v>
      </c>
      <c r="P18" s="116"/>
      <c r="Q18" s="116"/>
      <c r="R18" s="116"/>
      <c r="S18" s="116"/>
      <c r="T18" s="116"/>
      <c r="U18" s="117"/>
      <c r="V18" s="115"/>
      <c r="W18" s="116"/>
      <c r="X18" s="116"/>
      <c r="Y18" s="355"/>
    </row>
    <row r="19" spans="1:25" ht="18" customHeight="1">
      <c r="A19" s="356" t="s">
        <v>463</v>
      </c>
      <c r="B19" s="357">
        <v>1</v>
      </c>
      <c r="C19" s="358"/>
      <c r="D19" s="358"/>
      <c r="E19" s="358"/>
      <c r="F19" s="358"/>
      <c r="G19" s="358"/>
      <c r="H19" s="358"/>
      <c r="I19" s="358"/>
      <c r="J19" s="358"/>
      <c r="K19" s="358"/>
      <c r="L19" s="358"/>
      <c r="M19" s="359"/>
      <c r="N19" s="360" t="str">
        <f t="shared" ref="N19:N33" si="0">IF(C19&lt;&gt;"",AVERAGE(C19:L19),"")</f>
        <v/>
      </c>
      <c r="O19" s="361" t="s">
        <v>464</v>
      </c>
      <c r="P19" s="5" t="s">
        <v>389</v>
      </c>
      <c r="Q19" s="362" t="s">
        <v>647</v>
      </c>
      <c r="R19" s="4"/>
      <c r="S19" s="4"/>
      <c r="T19" s="363" t="s">
        <v>455</v>
      </c>
      <c r="U19" s="364" t="s">
        <v>465</v>
      </c>
      <c r="V19" s="150" t="s">
        <v>466</v>
      </c>
      <c r="W19" s="5" t="s">
        <v>389</v>
      </c>
      <c r="X19" s="4" t="s">
        <v>467</v>
      </c>
      <c r="Y19" s="365"/>
    </row>
    <row r="20" spans="1:25" ht="18" customHeight="1">
      <c r="A20" s="366">
        <v>2</v>
      </c>
      <c r="B20" s="325">
        <v>2</v>
      </c>
      <c r="C20" s="367"/>
      <c r="D20" s="367"/>
      <c r="E20" s="367"/>
      <c r="F20" s="367"/>
      <c r="G20" s="367"/>
      <c r="H20" s="367"/>
      <c r="I20" s="367"/>
      <c r="J20" s="367"/>
      <c r="K20" s="367"/>
      <c r="L20" s="367"/>
      <c r="M20" s="113"/>
      <c r="N20" s="368" t="str">
        <f t="shared" si="0"/>
        <v/>
      </c>
      <c r="O20" s="2"/>
      <c r="P20" s="5" t="s">
        <v>389</v>
      </c>
      <c r="Q20" s="4" t="str">
        <f>IF(C19&lt;&gt;"",CONCATENATE(TEXT($N$36,"0.000")," x ",CHOOSE($F$15,0,U20,U21)),"")</f>
        <v/>
      </c>
      <c r="R20" s="4"/>
      <c r="S20" s="4"/>
      <c r="T20" s="369">
        <v>2</v>
      </c>
      <c r="U20" s="370">
        <v>0.88649999999999995</v>
      </c>
      <c r="V20" s="150"/>
      <c r="W20" s="5" t="s">
        <v>389</v>
      </c>
      <c r="X20" s="48" t="str">
        <f>IF(C19&lt;&gt;"",CONCATENATE("100(",TEXT($Q$21,"0.000"),"/",TEXT($Q$39,"0.000"),")"),"")</f>
        <v/>
      </c>
      <c r="Y20" s="365"/>
    </row>
    <row r="21" spans="1:25" ht="18" customHeight="1">
      <c r="A21" s="371">
        <f>A20+1</f>
        <v>3</v>
      </c>
      <c r="B21" s="321">
        <v>3</v>
      </c>
      <c r="C21" s="367"/>
      <c r="D21" s="367"/>
      <c r="E21" s="367"/>
      <c r="F21" s="367"/>
      <c r="G21" s="367"/>
      <c r="H21" s="367"/>
      <c r="I21" s="367"/>
      <c r="J21" s="367"/>
      <c r="K21" s="367"/>
      <c r="L21" s="367"/>
      <c r="M21" s="113"/>
      <c r="N21" s="368" t="str">
        <f t="shared" si="0"/>
        <v/>
      </c>
      <c r="O21" s="372"/>
      <c r="P21" s="133" t="s">
        <v>389</v>
      </c>
      <c r="Q21" s="287" t="str">
        <f>IF(C19&lt;&gt;"",$N$36*(CHOOSE($F$15,0,U20,U21)),"")</f>
        <v/>
      </c>
      <c r="R21" s="113"/>
      <c r="S21" s="113"/>
      <c r="T21" s="373">
        <v>3</v>
      </c>
      <c r="U21" s="321">
        <v>0.5907</v>
      </c>
      <c r="V21" s="112"/>
      <c r="W21" s="133" t="s">
        <v>389</v>
      </c>
      <c r="X21" s="374" t="str">
        <f>IF(C19&lt;&gt;"",100*($Q$21/$Q$39),"")</f>
        <v/>
      </c>
      <c r="Y21" s="375"/>
    </row>
    <row r="22" spans="1:25" ht="18" customHeight="1">
      <c r="A22" s="371">
        <f>A21+1</f>
        <v>4</v>
      </c>
      <c r="B22" s="321" t="s">
        <v>468</v>
      </c>
      <c r="C22" s="376" t="str">
        <f t="shared" ref="C22:L22" si="1">IF(C19&lt;&gt;"",SUM(C19:C21)/COUNT(C19:C21),"")</f>
        <v/>
      </c>
      <c r="D22" s="376" t="str">
        <f t="shared" si="1"/>
        <v/>
      </c>
      <c r="E22" s="376" t="str">
        <f t="shared" si="1"/>
        <v/>
      </c>
      <c r="F22" s="376" t="str">
        <f t="shared" si="1"/>
        <v/>
      </c>
      <c r="G22" s="376" t="str">
        <f t="shared" si="1"/>
        <v/>
      </c>
      <c r="H22" s="376" t="str">
        <f t="shared" si="1"/>
        <v/>
      </c>
      <c r="I22" s="376" t="str">
        <f t="shared" si="1"/>
        <v/>
      </c>
      <c r="J22" s="376" t="str">
        <f t="shared" si="1"/>
        <v/>
      </c>
      <c r="K22" s="376" t="str">
        <f t="shared" si="1"/>
        <v/>
      </c>
      <c r="L22" s="376" t="str">
        <f t="shared" si="1"/>
        <v/>
      </c>
      <c r="M22" s="377" t="s">
        <v>648</v>
      </c>
      <c r="N22" s="368" t="str">
        <f t="shared" si="0"/>
        <v/>
      </c>
      <c r="O22" s="354" t="s">
        <v>469</v>
      </c>
      <c r="P22" s="116"/>
      <c r="Q22" s="116"/>
      <c r="R22" s="116"/>
      <c r="S22" s="116"/>
      <c r="T22" s="116"/>
      <c r="U22" s="117"/>
      <c r="V22" s="115"/>
      <c r="W22" s="116"/>
      <c r="X22" s="116"/>
      <c r="Y22" s="355"/>
    </row>
    <row r="23" spans="1:25" ht="18" customHeight="1" thickBot="1">
      <c r="A23" s="378">
        <f>A22+1</f>
        <v>5</v>
      </c>
      <c r="B23" s="379" t="s">
        <v>160</v>
      </c>
      <c r="C23" s="380" t="str">
        <f t="shared" ref="C23:L23" si="2">IF(C19&lt;&gt;"",MAX(C19:C21)-MIN(C19:C21),"")</f>
        <v/>
      </c>
      <c r="D23" s="380" t="str">
        <f t="shared" si="2"/>
        <v/>
      </c>
      <c r="E23" s="380" t="str">
        <f t="shared" si="2"/>
        <v/>
      </c>
      <c r="F23" s="380" t="str">
        <f t="shared" si="2"/>
        <v/>
      </c>
      <c r="G23" s="380" t="str">
        <f t="shared" si="2"/>
        <v/>
      </c>
      <c r="H23" s="380" t="str">
        <f t="shared" si="2"/>
        <v/>
      </c>
      <c r="I23" s="380" t="str">
        <f t="shared" si="2"/>
        <v/>
      </c>
      <c r="J23" s="380" t="str">
        <f t="shared" si="2"/>
        <v/>
      </c>
      <c r="K23" s="380" t="str">
        <f t="shared" si="2"/>
        <v/>
      </c>
      <c r="L23" s="380" t="str">
        <f t="shared" si="2"/>
        <v/>
      </c>
      <c r="M23" s="381" t="s">
        <v>649</v>
      </c>
      <c r="N23" s="368" t="str">
        <f t="shared" si="0"/>
        <v/>
      </c>
      <c r="O23" s="361" t="s">
        <v>470</v>
      </c>
      <c r="P23" s="5" t="s">
        <v>389</v>
      </c>
      <c r="Q23" s="4" t="s">
        <v>650</v>
      </c>
      <c r="R23" s="4"/>
      <c r="S23" s="4"/>
      <c r="T23" s="4"/>
      <c r="U23" s="110"/>
      <c r="V23" s="150" t="s">
        <v>471</v>
      </c>
      <c r="W23" s="5" t="s">
        <v>389</v>
      </c>
      <c r="X23" s="4" t="s">
        <v>472</v>
      </c>
      <c r="Y23" s="365"/>
    </row>
    <row r="24" spans="1:25" ht="18" customHeight="1">
      <c r="A24" s="356" t="s">
        <v>473</v>
      </c>
      <c r="B24" s="357">
        <v>1</v>
      </c>
      <c r="C24" s="358"/>
      <c r="D24" s="358"/>
      <c r="E24" s="358"/>
      <c r="F24" s="382"/>
      <c r="G24" s="382"/>
      <c r="H24" s="382"/>
      <c r="I24" s="382"/>
      <c r="J24" s="382"/>
      <c r="K24" s="382"/>
      <c r="L24" s="382"/>
      <c r="M24" s="359"/>
      <c r="N24" s="360" t="str">
        <f t="shared" si="0"/>
        <v/>
      </c>
      <c r="O24" s="2"/>
      <c r="P24" s="5" t="s">
        <v>389</v>
      </c>
      <c r="Q24" s="284" t="str">
        <f>IF(C19&lt;&gt;"",CONCATENATE("{(",TEXT($N$37,"0.00")," x ",CHOOSE($J$15,0,T27,U27),")^2 - (",TEXT($Q$21,"0.00")," ^2/(",$H$15," x ",$F$15,"))}^1/2"),"")</f>
        <v/>
      </c>
      <c r="R24" s="4"/>
      <c r="S24" s="4"/>
      <c r="T24" s="4"/>
      <c r="U24" s="110"/>
      <c r="V24" s="150"/>
      <c r="W24" s="5" t="s">
        <v>389</v>
      </c>
      <c r="X24" s="4" t="str">
        <f>IF(C19&lt;&gt;"",CONCATENATE("100(",TEXT($Q$25,"0.000"),"/",TEXT($Q$39,"0.000"),")"),"")</f>
        <v/>
      </c>
      <c r="Y24" s="365"/>
    </row>
    <row r="25" spans="1:25" ht="18" customHeight="1">
      <c r="A25" s="371">
        <v>7</v>
      </c>
      <c r="B25" s="325">
        <v>2</v>
      </c>
      <c r="C25" s="367"/>
      <c r="D25" s="367"/>
      <c r="E25" s="367"/>
      <c r="F25" s="383"/>
      <c r="G25" s="383"/>
      <c r="H25" s="383"/>
      <c r="I25" s="383"/>
      <c r="J25" s="383"/>
      <c r="K25" s="383"/>
      <c r="L25" s="383"/>
      <c r="M25" s="113"/>
      <c r="N25" s="368" t="str">
        <f t="shared" si="0"/>
        <v/>
      </c>
      <c r="O25" s="2"/>
      <c r="P25" s="5" t="s">
        <v>389</v>
      </c>
      <c r="Q25" s="384" t="str">
        <f>IF(C19="","",IF(($N$37*CHOOSE($J$15,0,T27,U27))^2-$Q$21^2/($H$15*$F$15)&lt;0,0,(($N$37*CHOOSE($J$15,0,T27,U27))^2-$Q$21^2/($H$15*$F$15))^(1/2)))</f>
        <v/>
      </c>
      <c r="R25" s="4"/>
      <c r="S25" s="4"/>
      <c r="T25" s="4"/>
      <c r="U25" s="110"/>
      <c r="V25" s="150"/>
      <c r="W25" s="5" t="s">
        <v>389</v>
      </c>
      <c r="X25" s="385" t="str">
        <f>IF(C19&lt;&gt;"",100*($Q$25/$Q$39),"")</f>
        <v/>
      </c>
      <c r="Y25" s="365"/>
    </row>
    <row r="26" spans="1:25" ht="18" customHeight="1">
      <c r="A26" s="371">
        <f>A25+1</f>
        <v>8</v>
      </c>
      <c r="B26" s="321">
        <v>3</v>
      </c>
      <c r="C26" s="367"/>
      <c r="D26" s="367"/>
      <c r="E26" s="367"/>
      <c r="F26" s="383"/>
      <c r="G26" s="383"/>
      <c r="H26" s="383"/>
      <c r="I26" s="383"/>
      <c r="J26" s="383"/>
      <c r="K26" s="383"/>
      <c r="L26" s="383"/>
      <c r="M26" s="113"/>
      <c r="N26" s="368" t="str">
        <f t="shared" si="0"/>
        <v/>
      </c>
      <c r="O26" s="2"/>
      <c r="P26" s="5"/>
      <c r="Q26" s="384"/>
      <c r="R26" s="4"/>
      <c r="S26" s="386" t="s">
        <v>457</v>
      </c>
      <c r="T26" s="363">
        <v>2</v>
      </c>
      <c r="U26" s="363">
        <v>3</v>
      </c>
      <c r="V26" s="112"/>
      <c r="W26" s="113"/>
      <c r="X26" s="113"/>
      <c r="Y26" s="375"/>
    </row>
    <row r="27" spans="1:25" ht="18" customHeight="1">
      <c r="A27" s="371">
        <f>A26+1</f>
        <v>9</v>
      </c>
      <c r="B27" s="321" t="s">
        <v>468</v>
      </c>
      <c r="C27" s="376" t="str">
        <f t="shared" ref="C27:L27" si="3">IF(C24&lt;&gt;"",SUM(C24:C26)/COUNT(C24:C26),"")</f>
        <v/>
      </c>
      <c r="D27" s="376" t="str">
        <f t="shared" si="3"/>
        <v/>
      </c>
      <c r="E27" s="376" t="str">
        <f t="shared" si="3"/>
        <v/>
      </c>
      <c r="F27" s="376" t="str">
        <f t="shared" si="3"/>
        <v/>
      </c>
      <c r="G27" s="376" t="str">
        <f t="shared" si="3"/>
        <v/>
      </c>
      <c r="H27" s="376" t="str">
        <f t="shared" si="3"/>
        <v/>
      </c>
      <c r="I27" s="376" t="str">
        <f t="shared" si="3"/>
        <v/>
      </c>
      <c r="J27" s="376" t="str">
        <f t="shared" si="3"/>
        <v/>
      </c>
      <c r="K27" s="376" t="str">
        <f t="shared" si="3"/>
        <v/>
      </c>
      <c r="L27" s="376" t="str">
        <f t="shared" si="3"/>
        <v/>
      </c>
      <c r="M27" s="377" t="s">
        <v>651</v>
      </c>
      <c r="N27" s="368" t="str">
        <f t="shared" si="0"/>
        <v/>
      </c>
      <c r="O27" s="372" t="s">
        <v>474</v>
      </c>
      <c r="P27" s="113"/>
      <c r="Q27" s="113"/>
      <c r="R27" s="113"/>
      <c r="S27" s="270" t="s">
        <v>652</v>
      </c>
      <c r="T27" s="270">
        <v>0.7087</v>
      </c>
      <c r="U27" s="387">
        <v>0.52359999999999995</v>
      </c>
      <c r="V27" s="115"/>
      <c r="W27" s="116"/>
      <c r="X27" s="116"/>
      <c r="Y27" s="355"/>
    </row>
    <row r="28" spans="1:25" ht="18" customHeight="1" thickBot="1">
      <c r="A28" s="378">
        <f>A27+1</f>
        <v>10</v>
      </c>
      <c r="B28" s="379" t="s">
        <v>160</v>
      </c>
      <c r="C28" s="380" t="str">
        <f t="shared" ref="C28:L28" si="4">IF(C24&lt;&gt;"",MAX(C24:C26)-MIN(C24:C26),"")</f>
        <v/>
      </c>
      <c r="D28" s="380" t="str">
        <f t="shared" si="4"/>
        <v/>
      </c>
      <c r="E28" s="380" t="str">
        <f t="shared" si="4"/>
        <v/>
      </c>
      <c r="F28" s="380" t="str">
        <f t="shared" si="4"/>
        <v/>
      </c>
      <c r="G28" s="380" t="str">
        <f t="shared" si="4"/>
        <v/>
      </c>
      <c r="H28" s="380" t="str">
        <f t="shared" si="4"/>
        <v/>
      </c>
      <c r="I28" s="380" t="str">
        <f t="shared" si="4"/>
        <v/>
      </c>
      <c r="J28" s="380" t="str">
        <f t="shared" si="4"/>
        <v/>
      </c>
      <c r="K28" s="380" t="str">
        <f t="shared" si="4"/>
        <v/>
      </c>
      <c r="L28" s="380" t="str">
        <f t="shared" si="4"/>
        <v/>
      </c>
      <c r="M28" s="381" t="s">
        <v>653</v>
      </c>
      <c r="N28" s="368" t="str">
        <f t="shared" si="0"/>
        <v/>
      </c>
      <c r="O28" s="354" t="s">
        <v>475</v>
      </c>
      <c r="P28" s="116"/>
      <c r="Q28" s="116"/>
      <c r="R28" s="116"/>
      <c r="S28" s="116"/>
      <c r="T28" s="116"/>
      <c r="U28" s="117"/>
      <c r="V28" s="150" t="s">
        <v>476</v>
      </c>
      <c r="W28" s="5" t="s">
        <v>389</v>
      </c>
      <c r="X28" s="4" t="s">
        <v>477</v>
      </c>
      <c r="Y28" s="365"/>
    </row>
    <row r="29" spans="1:25" ht="18" customHeight="1">
      <c r="A29" s="356" t="s">
        <v>478</v>
      </c>
      <c r="B29" s="357">
        <v>1</v>
      </c>
      <c r="C29" s="358"/>
      <c r="D29" s="358"/>
      <c r="E29" s="358"/>
      <c r="F29" s="358"/>
      <c r="G29" s="358"/>
      <c r="H29" s="358"/>
      <c r="I29" s="358"/>
      <c r="J29" s="358"/>
      <c r="K29" s="358"/>
      <c r="L29" s="358"/>
      <c r="M29" s="359"/>
      <c r="N29" s="360" t="str">
        <f t="shared" si="0"/>
        <v/>
      </c>
      <c r="O29" s="361" t="s">
        <v>479</v>
      </c>
      <c r="P29" s="5" t="s">
        <v>389</v>
      </c>
      <c r="Q29" s="4" t="s">
        <v>654</v>
      </c>
      <c r="R29" s="4"/>
      <c r="S29" s="4"/>
      <c r="T29" s="363" t="s">
        <v>456</v>
      </c>
      <c r="U29" s="364" t="s">
        <v>655</v>
      </c>
      <c r="V29" s="150"/>
      <c r="W29" s="5" t="s">
        <v>389</v>
      </c>
      <c r="X29" s="4" t="str">
        <f>IF(C19&lt;&gt;"",CONCATENATE("100(",TEXT($Q$31,"0.000"),"/",TEXT($Q$39,"0.000"),")"),"")</f>
        <v/>
      </c>
      <c r="Y29" s="365"/>
    </row>
    <row r="30" spans="1:25" ht="18" customHeight="1">
      <c r="A30" s="371">
        <v>12</v>
      </c>
      <c r="B30" s="325">
        <v>2</v>
      </c>
      <c r="C30" s="367"/>
      <c r="D30" s="367"/>
      <c r="E30" s="367"/>
      <c r="F30" s="367"/>
      <c r="G30" s="367"/>
      <c r="H30" s="367"/>
      <c r="I30" s="367"/>
      <c r="J30" s="367"/>
      <c r="K30" s="367"/>
      <c r="L30" s="367"/>
      <c r="M30" s="113"/>
      <c r="N30" s="368" t="str">
        <f t="shared" si="0"/>
        <v/>
      </c>
      <c r="O30" s="2"/>
      <c r="P30" s="5" t="s">
        <v>389</v>
      </c>
      <c r="Q30" s="388" t="str">
        <f>IF(C19&lt;&gt;"",CONCATENATE("{(",TEXT($Q$21,"0.000"),"^2 + ",TEXT($Q$25,"0.000"),"^2)}^1/2"),"")</f>
        <v/>
      </c>
      <c r="R30" s="4"/>
      <c r="S30" s="4"/>
      <c r="T30" s="369">
        <v>2</v>
      </c>
      <c r="U30" s="389">
        <v>0.7087</v>
      </c>
      <c r="V30" s="150"/>
      <c r="W30" s="5" t="s">
        <v>389</v>
      </c>
      <c r="X30" s="385" t="str">
        <f>IF(C19&lt;&gt;"",100*($Q$31/$Q$39),"")</f>
        <v/>
      </c>
      <c r="Y30" s="365"/>
    </row>
    <row r="31" spans="1:25" ht="18" customHeight="1">
      <c r="A31" s="371">
        <f>A30+1</f>
        <v>13</v>
      </c>
      <c r="B31" s="321">
        <v>3</v>
      </c>
      <c r="C31" s="367"/>
      <c r="D31" s="367"/>
      <c r="E31" s="367"/>
      <c r="F31" s="367"/>
      <c r="G31" s="367"/>
      <c r="H31" s="367"/>
      <c r="I31" s="367"/>
      <c r="J31" s="367"/>
      <c r="K31" s="367"/>
      <c r="L31" s="367"/>
      <c r="M31" s="113"/>
      <c r="N31" s="368" t="str">
        <f t="shared" si="0"/>
        <v/>
      </c>
      <c r="O31" s="372"/>
      <c r="P31" s="133" t="s">
        <v>389</v>
      </c>
      <c r="Q31" s="288" t="str">
        <f>IF(C19&lt;&gt;"",($Q$21^2+$Q$25^2)^(1/2),"")</f>
        <v/>
      </c>
      <c r="R31" s="113"/>
      <c r="S31" s="113"/>
      <c r="T31" s="369">
        <v>3</v>
      </c>
      <c r="U31" s="389">
        <v>0.52359999999999995</v>
      </c>
      <c r="V31" s="390" t="str">
        <f>IF(C20&lt;&gt;"",IF(X30&lt;10,"Gage system O.K",IF(X30&lt;30,"Gage system may be acceptable","Gage system needs improvement")),"")</f>
        <v/>
      </c>
      <c r="W31" s="3"/>
      <c r="X31" s="391"/>
      <c r="Y31" s="392"/>
    </row>
    <row r="32" spans="1:25" ht="18" customHeight="1">
      <c r="A32" s="371">
        <f>A31+1</f>
        <v>14</v>
      </c>
      <c r="B32" s="321" t="s">
        <v>468</v>
      </c>
      <c r="C32" s="376" t="str">
        <f t="shared" ref="C32:L32" si="5">IF(C29&lt;&gt;"",SUM(C29:C31)/COUNT(C29:C31),"")</f>
        <v/>
      </c>
      <c r="D32" s="376" t="str">
        <f t="shared" si="5"/>
        <v/>
      </c>
      <c r="E32" s="376" t="str">
        <f t="shared" si="5"/>
        <v/>
      </c>
      <c r="F32" s="376" t="str">
        <f t="shared" si="5"/>
        <v/>
      </c>
      <c r="G32" s="376" t="str">
        <f t="shared" si="5"/>
        <v/>
      </c>
      <c r="H32" s="376" t="str">
        <f t="shared" si="5"/>
        <v/>
      </c>
      <c r="I32" s="376" t="str">
        <f t="shared" si="5"/>
        <v/>
      </c>
      <c r="J32" s="376" t="str">
        <f t="shared" si="5"/>
        <v/>
      </c>
      <c r="K32" s="376" t="str">
        <f t="shared" si="5"/>
        <v/>
      </c>
      <c r="L32" s="376" t="str">
        <f t="shared" si="5"/>
        <v/>
      </c>
      <c r="M32" s="377" t="s">
        <v>656</v>
      </c>
      <c r="N32" s="368" t="str">
        <f t="shared" si="0"/>
        <v/>
      </c>
      <c r="O32" s="354" t="s">
        <v>480</v>
      </c>
      <c r="P32" s="116"/>
      <c r="Q32" s="116"/>
      <c r="R32" s="116"/>
      <c r="S32" s="116"/>
      <c r="T32" s="369">
        <v>4</v>
      </c>
      <c r="U32" s="389">
        <v>0.44640000000000002</v>
      </c>
      <c r="V32" s="115"/>
      <c r="W32" s="116"/>
      <c r="X32" s="116"/>
      <c r="Y32" s="355"/>
    </row>
    <row r="33" spans="1:27" ht="18" customHeight="1" thickBot="1">
      <c r="A33" s="378">
        <f>A32+1</f>
        <v>15</v>
      </c>
      <c r="B33" s="379" t="s">
        <v>160</v>
      </c>
      <c r="C33" s="380" t="str">
        <f t="shared" ref="C33:L33" si="6">IF(C29&lt;&gt;"",MAX(C29:C31)-MIN(C29:C31),"")</f>
        <v/>
      </c>
      <c r="D33" s="380" t="str">
        <f t="shared" si="6"/>
        <v/>
      </c>
      <c r="E33" s="380" t="str">
        <f t="shared" si="6"/>
        <v/>
      </c>
      <c r="F33" s="380" t="str">
        <f t="shared" si="6"/>
        <v/>
      </c>
      <c r="G33" s="380" t="str">
        <f t="shared" si="6"/>
        <v/>
      </c>
      <c r="H33" s="380" t="str">
        <f t="shared" si="6"/>
        <v/>
      </c>
      <c r="I33" s="380" t="str">
        <f t="shared" si="6"/>
        <v/>
      </c>
      <c r="J33" s="380" t="str">
        <f t="shared" si="6"/>
        <v/>
      </c>
      <c r="K33" s="380" t="str">
        <f t="shared" si="6"/>
        <v/>
      </c>
      <c r="L33" s="380" t="str">
        <f t="shared" si="6"/>
        <v/>
      </c>
      <c r="M33" s="381" t="s">
        <v>657</v>
      </c>
      <c r="N33" s="368" t="str">
        <f t="shared" si="0"/>
        <v/>
      </c>
      <c r="O33" s="361" t="s">
        <v>481</v>
      </c>
      <c r="P33" s="5" t="s">
        <v>389</v>
      </c>
      <c r="Q33" s="4" t="s">
        <v>658</v>
      </c>
      <c r="R33" s="4"/>
      <c r="S33" s="4"/>
      <c r="T33" s="369">
        <v>5</v>
      </c>
      <c r="U33" s="389">
        <v>0.4032</v>
      </c>
      <c r="V33" s="150" t="s">
        <v>482</v>
      </c>
      <c r="W33" s="5" t="s">
        <v>389</v>
      </c>
      <c r="X33" s="4" t="s">
        <v>483</v>
      </c>
      <c r="Y33" s="365"/>
    </row>
    <row r="34" spans="1:27" ht="18" customHeight="1">
      <c r="A34" s="393" t="s">
        <v>484</v>
      </c>
      <c r="B34" s="199"/>
      <c r="C34" s="394"/>
      <c r="D34" s="394"/>
      <c r="E34" s="394"/>
      <c r="F34" s="394"/>
      <c r="G34" s="394"/>
      <c r="H34" s="394"/>
      <c r="I34" s="394"/>
      <c r="J34" s="394"/>
      <c r="K34" s="394"/>
      <c r="L34" s="394"/>
      <c r="M34" s="395" t="s">
        <v>485</v>
      </c>
      <c r="N34" s="396" t="str">
        <f>IF(C19&lt;&gt;"",AVERAGE(C35:L35),"")</f>
        <v/>
      </c>
      <c r="O34" s="361"/>
      <c r="P34" s="5" t="s">
        <v>389</v>
      </c>
      <c r="Q34" s="4" t="str">
        <f>IF(C19&lt;&gt;"",CONCATENATE(TEXT($N$35,"0.000")," x ",CHOOSE($H$15,0,U30,U31,U32,U33,U34,U35,U36,U37,U38)),"")</f>
        <v/>
      </c>
      <c r="R34" s="4"/>
      <c r="S34" s="4"/>
      <c r="T34" s="369">
        <v>6</v>
      </c>
      <c r="U34" s="389">
        <v>0.3745</v>
      </c>
      <c r="V34" s="150"/>
      <c r="W34" s="5" t="s">
        <v>389</v>
      </c>
      <c r="X34" s="284" t="str">
        <f>IF(C19&lt;&gt;"",CONCATENATE("100(",TEXT($Q$35,"0.000"),"/",TEXT($Q$39,"0.000"),")"),"")</f>
        <v/>
      </c>
      <c r="Y34" s="365"/>
    </row>
    <row r="35" spans="1:27" ht="18" customHeight="1" thickBot="1">
      <c r="A35" s="397" t="s">
        <v>486</v>
      </c>
      <c r="B35" s="351"/>
      <c r="C35" s="398" t="str">
        <f t="shared" ref="C35:L35" si="7">IF(C22&lt;&gt;"",SUM(C22,C27,C32)/COUNT(C22,C27,C32),"")</f>
        <v/>
      </c>
      <c r="D35" s="398" t="str">
        <f t="shared" si="7"/>
        <v/>
      </c>
      <c r="E35" s="398" t="str">
        <f t="shared" si="7"/>
        <v/>
      </c>
      <c r="F35" s="398" t="str">
        <f t="shared" si="7"/>
        <v/>
      </c>
      <c r="G35" s="398" t="str">
        <f t="shared" si="7"/>
        <v/>
      </c>
      <c r="H35" s="398" t="str">
        <f t="shared" si="7"/>
        <v/>
      </c>
      <c r="I35" s="398" t="str">
        <f t="shared" si="7"/>
        <v/>
      </c>
      <c r="J35" s="398" t="str">
        <f t="shared" si="7"/>
        <v/>
      </c>
      <c r="K35" s="398" t="str">
        <f t="shared" si="7"/>
        <v/>
      </c>
      <c r="L35" s="398" t="str">
        <f t="shared" si="7"/>
        <v/>
      </c>
      <c r="M35" s="399" t="s">
        <v>659</v>
      </c>
      <c r="N35" s="400" t="str">
        <f>IF(C19&lt;&gt;"",MAX(C35:L35)-MIN(C35:L35),"")</f>
        <v/>
      </c>
      <c r="O35" s="401"/>
      <c r="P35" s="133" t="s">
        <v>389</v>
      </c>
      <c r="Q35" s="288" t="str">
        <f>IF(C19&lt;&gt;"",$N$35*CHOOSE($H$15,0,U30,U31,U32,U33,U34,U35,U36,U37,U38),"")</f>
        <v/>
      </c>
      <c r="R35" s="113"/>
      <c r="S35" s="113"/>
      <c r="T35" s="369">
        <v>7</v>
      </c>
      <c r="U35" s="389">
        <v>0.35339999999999999</v>
      </c>
      <c r="V35" s="150"/>
      <c r="W35" s="5" t="s">
        <v>389</v>
      </c>
      <c r="X35" s="402" t="str">
        <f>IF(C19&lt;&gt;"",100*($Q$35/$Q$39),"")</f>
        <v/>
      </c>
      <c r="Y35" s="365"/>
    </row>
    <row r="36" spans="1:27" ht="18" customHeight="1">
      <c r="A36" s="403">
        <f>A33+2</f>
        <v>17</v>
      </c>
      <c r="B36" s="359" t="s">
        <v>660</v>
      </c>
      <c r="C36" s="359"/>
      <c r="D36" s="359"/>
      <c r="E36" s="359"/>
      <c r="F36" s="359"/>
      <c r="G36" s="359"/>
      <c r="H36" s="359"/>
      <c r="I36" s="359"/>
      <c r="J36" s="359"/>
      <c r="K36" s="359"/>
      <c r="L36" s="359"/>
      <c r="M36" s="404" t="s">
        <v>487</v>
      </c>
      <c r="N36" s="360" t="str">
        <f>IF(C19&lt;&gt;"",SUM(N23,N28,N33)/COUNT(C19,C24,C29),"")</f>
        <v/>
      </c>
      <c r="O36" s="354" t="s">
        <v>488</v>
      </c>
      <c r="P36" s="116"/>
      <c r="Q36" s="116"/>
      <c r="R36" s="116"/>
      <c r="S36" s="116"/>
      <c r="T36" s="369">
        <v>8</v>
      </c>
      <c r="U36" s="389">
        <v>0.33779999999999999</v>
      </c>
      <c r="V36" s="112"/>
      <c r="W36" s="113"/>
      <c r="X36" s="113"/>
      <c r="Y36" s="375"/>
    </row>
    <row r="37" spans="1:27" ht="18" customHeight="1">
      <c r="A37" s="405">
        <f>A36+1</f>
        <v>18</v>
      </c>
      <c r="B37" s="406" t="s">
        <v>661</v>
      </c>
      <c r="C37" s="225"/>
      <c r="D37" s="225"/>
      <c r="E37" s="225"/>
      <c r="F37" s="225"/>
      <c r="G37" s="225"/>
      <c r="H37" s="225"/>
      <c r="I37" s="225"/>
      <c r="J37" s="225"/>
      <c r="K37" s="225"/>
      <c r="L37" s="225"/>
      <c r="M37" s="407" t="s">
        <v>662</v>
      </c>
      <c r="N37" s="408" t="str">
        <f>IF(C19&lt;&gt;"",MAX(N22,N27,N32)-MIN(N22,N27,N32),"")</f>
        <v/>
      </c>
      <c r="O37" s="361" t="s">
        <v>489</v>
      </c>
      <c r="P37" s="5" t="s">
        <v>389</v>
      </c>
      <c r="Q37" s="4" t="s">
        <v>663</v>
      </c>
      <c r="R37" s="4"/>
      <c r="S37" s="4"/>
      <c r="T37" s="369">
        <v>9</v>
      </c>
      <c r="U37" s="389">
        <v>0.32469999999999999</v>
      </c>
      <c r="V37" s="150" t="s">
        <v>490</v>
      </c>
      <c r="W37" s="5" t="s">
        <v>389</v>
      </c>
      <c r="X37" s="4" t="s">
        <v>491</v>
      </c>
      <c r="Y37" s="365"/>
    </row>
    <row r="38" spans="1:27" ht="18" customHeight="1">
      <c r="A38" s="405">
        <f>A37+1</f>
        <v>19</v>
      </c>
      <c r="B38" s="175" t="s">
        <v>664</v>
      </c>
      <c r="C38" s="225"/>
      <c r="D38" s="225"/>
      <c r="E38" s="409" t="str">
        <f>IF(C19="","",IF(OR(G38&lt;&gt;"",H38&lt;&gt;"",I38&lt;&gt;""),"APPRAISER",""))</f>
        <v/>
      </c>
      <c r="F38" s="410"/>
      <c r="G38" s="411" t="str">
        <f>IF(C19="","",IF(OR(AND($C23&lt;&gt;"",$C23&gt;$N$38),AND($D23&lt;&gt;"",$D23&gt;$N$38),AND($E23&lt;&gt;"",$E23&gt;$N$38),AND($F23&lt;&gt;"",$F23&gt;$N$38),AND($G23&lt;&gt;"",$G23&gt;$N$38),AND($H23&lt;&gt;"",$H23&gt;$N$38),AND($I23&lt;&gt;"",$I23&gt;$N$38),AND($J23&lt;&gt;"",$J23&gt;$N$38),AND($K23&lt;&gt;"",$K23&gt;$N$38),AND($L23&lt;&gt;"",$L23&gt;$N$38)),"A",""))</f>
        <v/>
      </c>
      <c r="H38" s="411" t="str">
        <f>IF(C19="","",IF(OR(AND($C28&lt;&gt;"",$C28&gt;$N$38),AND($D28&lt;&gt;"",$D28&gt;$N$38),AND($E28&lt;&gt;"",$E28&gt;$N$38),AND($F28&lt;&gt;"",$F28&gt;$N$38),AND($G28&lt;&gt;"",$G28&gt;$N$38),AND($H28&lt;&gt;"",$H28&gt;$N$38),AND($I28&lt;&gt;"",$I28&gt;$N$38),AND($J28&lt;&gt;"",$J28&gt;$N$38),AND($K28&lt;&gt;"",$K28&gt;$N$38),AND($L28&lt;&gt;"",$L28&gt;$N$38)),"B",""))</f>
        <v/>
      </c>
      <c r="I38" s="411" t="str">
        <f>IF(C19="","",IF(OR(AND($C33&lt;&gt;"",$C33&gt;$N$38),AND($D33&lt;&gt;"",$D33&gt;$N$38),AND($E33&lt;&gt;"",$E33&gt;$N$38),AND($F33&lt;&gt;"",$F33&gt;$N$38),AND($G33&lt;&gt;"",$G33&gt;$N$38),AND($H33&lt;&gt;"",$H33&gt;$N$38),AND($I33&lt;&gt;"",$I33&gt;$N$38),AND($J33&lt;&gt;"",$J33&gt;$N$38),AND($K33&lt;&gt;"",$K33&gt;$N$38),AND($L33&lt;&gt;"",$L33&gt;$N$38)),"C",""))</f>
        <v/>
      </c>
      <c r="J38" s="410" t="str">
        <f>IF(C19="","",IF(OR(G38&lt;&gt;"",H38&lt;&gt;"",I38&lt;&gt;""),"OUT OF CONTROL",""))</f>
        <v/>
      </c>
      <c r="K38" s="225"/>
      <c r="L38" s="225"/>
      <c r="M38" s="412" t="s">
        <v>665</v>
      </c>
      <c r="N38" s="408" t="str">
        <f>IF(C19&lt;&gt;"",IF(F15=3,2.58*N36,3.27*N36),"")</f>
        <v/>
      </c>
      <c r="O38" s="361"/>
      <c r="P38" s="413" t="s">
        <v>389</v>
      </c>
      <c r="Q38" s="385" t="str">
        <f>IF(C19&lt;&gt;"",CONCATENATE("{(",TEXT($Q$31,"0.000"),"^2 + ",TEXT($Q$35,"0.000"),"^2)}^1/2"),"")</f>
        <v/>
      </c>
      <c r="R38" s="4"/>
      <c r="S38" s="4"/>
      <c r="T38" s="373">
        <v>10</v>
      </c>
      <c r="U38" s="414">
        <v>0.3145</v>
      </c>
      <c r="V38" s="109"/>
      <c r="W38" s="413" t="s">
        <v>389</v>
      </c>
      <c r="X38" s="284" t="str">
        <f>IF(C19&lt;&gt;"",CONCATENATE("1.41(",TEXT($Q$35,"0.000"),"/",TEXT($Q$31,"0.000"),")"),"")</f>
        <v/>
      </c>
      <c r="Y38" s="365"/>
      <c r="AA38" s="491"/>
    </row>
    <row r="39" spans="1:27" ht="18" customHeight="1">
      <c r="A39" s="415"/>
      <c r="B39" s="116"/>
      <c r="C39" s="116"/>
      <c r="D39" s="116"/>
      <c r="E39" s="116"/>
      <c r="F39" s="116"/>
      <c r="G39" s="116"/>
      <c r="H39" s="116"/>
      <c r="I39" s="116"/>
      <c r="J39" s="116"/>
      <c r="K39" s="116"/>
      <c r="L39" s="116"/>
      <c r="M39" s="116"/>
      <c r="N39" s="355"/>
      <c r="O39" s="361"/>
      <c r="P39" s="413" t="s">
        <v>389</v>
      </c>
      <c r="Q39" s="288" t="str">
        <f>IF(C19&lt;&gt;"",($Q$31^2+$Q$35^2)^(1/2),"")</f>
        <v/>
      </c>
      <c r="R39" s="4"/>
      <c r="S39" s="4"/>
      <c r="T39" s="4"/>
      <c r="U39" s="117"/>
      <c r="V39" s="4"/>
      <c r="W39" s="413" t="s">
        <v>389</v>
      </c>
      <c r="X39" s="416" t="str">
        <f>IF(C19&lt;&gt;"",TRUNC(1.41*($Q$35/$Q$31)),"")</f>
        <v/>
      </c>
      <c r="Y39" s="365"/>
    </row>
    <row r="40" spans="1:27" ht="18" customHeight="1">
      <c r="A40" s="417" t="s">
        <v>666</v>
      </c>
      <c r="B40" s="4"/>
      <c r="C40" s="4"/>
      <c r="D40" s="4"/>
      <c r="E40" s="4"/>
      <c r="F40" s="4"/>
      <c r="G40" s="4"/>
      <c r="H40" s="4"/>
      <c r="I40" s="4"/>
      <c r="J40" s="4"/>
      <c r="K40" s="4"/>
      <c r="L40" s="4"/>
      <c r="M40" s="4"/>
      <c r="N40" s="365"/>
      <c r="O40" s="401"/>
      <c r="P40" s="418"/>
      <c r="Q40" s="287"/>
      <c r="R40" s="113"/>
      <c r="S40" s="113"/>
      <c r="T40" s="113"/>
      <c r="U40" s="114"/>
      <c r="V40" s="1054" t="str">
        <f>IF(X39&lt;&gt;"",IF(X39&lt;5,"Gage discrimination low","Gage discrimination acceptable"),"")</f>
        <v/>
      </c>
      <c r="W40" s="1055"/>
      <c r="X40" s="1055"/>
      <c r="Y40" s="1056"/>
    </row>
    <row r="41" spans="1:27">
      <c r="A41" s="417" t="s">
        <v>492</v>
      </c>
      <c r="B41" s="4"/>
      <c r="C41" s="4"/>
      <c r="D41" s="4"/>
      <c r="E41" s="4"/>
      <c r="F41" s="4"/>
      <c r="G41" s="4"/>
      <c r="H41" s="4"/>
      <c r="I41" s="4"/>
      <c r="J41" s="4"/>
      <c r="K41" s="4"/>
      <c r="L41" s="4"/>
      <c r="M41" s="4"/>
      <c r="N41" s="365"/>
      <c r="O41" s="417"/>
      <c r="P41" s="4"/>
      <c r="Q41" s="4"/>
      <c r="R41" s="4"/>
      <c r="S41" s="4"/>
      <c r="T41" s="4"/>
      <c r="U41" s="4"/>
      <c r="V41" s="4"/>
      <c r="W41" s="4"/>
      <c r="X41" s="4"/>
      <c r="Y41" s="365"/>
    </row>
    <row r="42" spans="1:27">
      <c r="A42" s="417" t="s">
        <v>667</v>
      </c>
      <c r="B42" s="4"/>
      <c r="C42" s="4"/>
      <c r="D42" s="4"/>
      <c r="E42" s="4"/>
      <c r="F42" s="4"/>
      <c r="G42" s="4"/>
      <c r="H42" s="4"/>
      <c r="I42" s="4"/>
      <c r="J42" s="4"/>
      <c r="K42" s="4"/>
      <c r="L42" s="4"/>
      <c r="M42" s="4"/>
      <c r="N42" s="365"/>
      <c r="O42" s="2" t="s">
        <v>668</v>
      </c>
      <c r="P42" s="4"/>
      <c r="Q42" s="4"/>
      <c r="R42" s="4"/>
      <c r="S42" s="4"/>
      <c r="T42" s="4"/>
      <c r="U42" s="4"/>
      <c r="V42" s="4"/>
      <c r="W42" s="4"/>
      <c r="X42" s="4"/>
      <c r="Y42" s="365"/>
    </row>
    <row r="43" spans="1:27" ht="13.5" thickBot="1">
      <c r="A43" s="2"/>
      <c r="B43" s="4"/>
      <c r="C43" s="4"/>
      <c r="D43" s="4"/>
      <c r="E43" s="4"/>
      <c r="F43" s="4"/>
      <c r="G43" s="4"/>
      <c r="H43" s="4"/>
      <c r="I43" s="4"/>
      <c r="J43" s="4"/>
      <c r="K43" s="4"/>
      <c r="L43" s="4"/>
      <c r="M43" s="4"/>
      <c r="N43" s="365"/>
      <c r="O43" s="419"/>
      <c r="P43" s="420"/>
      <c r="Q43" s="194"/>
      <c r="R43" s="194"/>
      <c r="S43" s="194"/>
      <c r="T43" s="194"/>
      <c r="U43" s="194"/>
      <c r="V43" s="194"/>
      <c r="W43" s="194"/>
      <c r="X43" s="194"/>
      <c r="Y43" s="353"/>
    </row>
    <row r="44" spans="1:27">
      <c r="A44" s="417" t="s">
        <v>493</v>
      </c>
      <c r="B44" s="113"/>
      <c r="C44" s="113"/>
      <c r="D44" s="113"/>
      <c r="E44" s="113"/>
      <c r="F44" s="113"/>
      <c r="G44" s="113"/>
      <c r="H44" s="113"/>
      <c r="I44" s="113"/>
      <c r="J44" s="113"/>
      <c r="K44" s="113"/>
      <c r="L44" s="113"/>
      <c r="M44" s="113"/>
      <c r="N44" s="375"/>
      <c r="O44" s="160"/>
    </row>
    <row r="45" spans="1:27">
      <c r="A45" s="417"/>
      <c r="B45" s="113"/>
      <c r="C45" s="113"/>
      <c r="D45" s="113"/>
      <c r="E45" s="113"/>
      <c r="F45" s="113"/>
      <c r="G45" s="113"/>
      <c r="H45" s="113"/>
      <c r="I45" s="113"/>
      <c r="J45" s="113"/>
      <c r="K45" s="113"/>
      <c r="L45" s="113"/>
      <c r="M45" s="113"/>
      <c r="N45" s="375"/>
      <c r="O45" s="160"/>
    </row>
    <row r="46" spans="1:27" ht="13.5" thickBot="1">
      <c r="A46" s="419"/>
      <c r="B46" s="194"/>
      <c r="C46" s="194"/>
      <c r="D46" s="194"/>
      <c r="E46" s="194"/>
      <c r="F46" s="194"/>
      <c r="G46" s="194"/>
      <c r="H46" s="194"/>
      <c r="I46" s="194"/>
      <c r="J46" s="194"/>
      <c r="K46" s="194"/>
      <c r="L46" s="194"/>
      <c r="M46" s="194"/>
      <c r="N46" s="353"/>
      <c r="O46" s="160"/>
    </row>
    <row r="47" spans="1:27">
      <c r="O47" s="160"/>
    </row>
  </sheetData>
  <mergeCells count="3">
    <mergeCell ref="V40:Y40"/>
    <mergeCell ref="A1:Y4"/>
    <mergeCell ref="A9:C9"/>
  </mergeCells>
  <phoneticPr fontId="26" type="noConversion"/>
  <printOptions horizontalCentered="1" verticalCentered="1"/>
  <pageMargins left="0.25" right="0.25" top="0.41" bottom="0.8125" header="0.17" footer="0.16"/>
  <pageSetup scale="72" fitToHeight="27" orientation="landscape" r:id="rId1"/>
  <headerFooter alignWithMargins="0">
    <oddFooter xml:space="preserve">&amp;L&amp;6&amp;Z&amp;F&amp;CQAI_6012 AAR Mobility PPAP Workbook
</oddFooter>
  </headerFooter>
  <colBreaks count="1" manualBreakCount="1">
    <brk id="14" max="1048575" man="1"/>
  </col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tabColor indexed="13"/>
    <pageSetUpPr fitToPage="1"/>
  </sheetPr>
  <dimension ref="A1:Z46"/>
  <sheetViews>
    <sheetView zoomScaleNormal="100" workbookViewId="0">
      <selection activeCell="O21" sqref="O21"/>
    </sheetView>
  </sheetViews>
  <sheetFormatPr defaultColWidth="9.140625" defaultRowHeight="12.75"/>
  <cols>
    <col min="1" max="1" width="7.5703125" style="1" customWidth="1"/>
    <col min="2" max="2" width="4.85546875" style="1" customWidth="1"/>
    <col min="3" max="12" width="6.28515625" style="1" customWidth="1"/>
    <col min="13" max="13" width="5.28515625" style="1" customWidth="1"/>
    <col min="14" max="14" width="9.140625" style="1"/>
    <col min="15" max="21" width="7.7109375" style="1" customWidth="1"/>
    <col min="22" max="22" width="9.28515625" style="1" customWidth="1"/>
    <col min="23" max="23" width="8.28515625" style="1" customWidth="1"/>
    <col min="24" max="25" width="9.28515625" style="1" customWidth="1"/>
    <col min="26" max="16384" width="9.140625" style="1"/>
  </cols>
  <sheetData>
    <row r="1" spans="1:26">
      <c r="A1" s="1020"/>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row>
    <row r="2" spans="1:26">
      <c r="A2" s="1020"/>
      <c r="B2" s="1020"/>
      <c r="C2" s="1020"/>
      <c r="D2" s="1020"/>
      <c r="E2" s="1020"/>
      <c r="F2" s="1020"/>
      <c r="G2" s="1020"/>
      <c r="H2" s="1020"/>
      <c r="I2" s="1020"/>
      <c r="J2" s="1020"/>
      <c r="K2" s="1020"/>
      <c r="L2" s="1020"/>
      <c r="M2" s="1020"/>
      <c r="N2" s="1020"/>
      <c r="O2" s="1020"/>
      <c r="P2" s="1020"/>
      <c r="Q2" s="1020"/>
      <c r="R2" s="1020"/>
      <c r="S2" s="1020"/>
      <c r="T2" s="1020"/>
      <c r="U2" s="1020"/>
      <c r="V2" s="1020"/>
      <c r="W2" s="1020"/>
      <c r="X2" s="1020"/>
      <c r="Y2" s="1020"/>
    </row>
    <row r="3" spans="1:26">
      <c r="A3" s="1020"/>
      <c r="B3" s="1020"/>
      <c r="C3" s="1020"/>
      <c r="D3" s="1020"/>
      <c r="E3" s="1020"/>
      <c r="F3" s="1020"/>
      <c r="G3" s="1020"/>
      <c r="H3" s="1020"/>
      <c r="I3" s="1020"/>
      <c r="J3" s="1020"/>
      <c r="K3" s="1020"/>
      <c r="L3" s="1020"/>
      <c r="M3" s="1020"/>
      <c r="N3" s="1020"/>
      <c r="O3" s="1020"/>
      <c r="P3" s="1020"/>
      <c r="Q3" s="1020"/>
      <c r="R3" s="1020"/>
      <c r="S3" s="1020"/>
      <c r="T3" s="1020"/>
      <c r="U3" s="1020"/>
      <c r="V3" s="1020"/>
      <c r="W3" s="1020"/>
      <c r="X3" s="1020"/>
      <c r="Y3" s="1020"/>
    </row>
    <row r="4" spans="1:26" ht="25.5" customHeight="1">
      <c r="A4" s="1020"/>
      <c r="B4" s="1020"/>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5" spans="1:26" ht="18">
      <c r="A5" s="328" t="s">
        <v>449</v>
      </c>
      <c r="B5" s="134"/>
      <c r="C5" s="134"/>
      <c r="D5" s="134"/>
      <c r="E5" s="134"/>
      <c r="F5" s="134"/>
      <c r="G5" s="134"/>
      <c r="H5" s="134"/>
      <c r="I5" s="134"/>
      <c r="J5" s="134"/>
      <c r="K5" s="134"/>
      <c r="L5" s="134"/>
      <c r="M5" s="134"/>
      <c r="N5" s="134"/>
      <c r="O5" s="328" t="s">
        <v>449</v>
      </c>
      <c r="P5" s="134"/>
      <c r="Q5" s="134"/>
      <c r="R5" s="134"/>
      <c r="S5" s="134"/>
      <c r="T5" s="134"/>
      <c r="U5" s="134"/>
      <c r="V5" s="134"/>
      <c r="W5" s="134"/>
      <c r="X5" s="134"/>
      <c r="Y5" s="134"/>
    </row>
    <row r="6" spans="1:26" ht="18">
      <c r="A6" s="328" t="s">
        <v>450</v>
      </c>
      <c r="B6" s="134"/>
      <c r="C6" s="134"/>
      <c r="D6" s="134"/>
      <c r="E6" s="134"/>
      <c r="F6" s="134"/>
      <c r="G6" s="134"/>
      <c r="H6" s="134"/>
      <c r="I6" s="134"/>
      <c r="J6" s="134"/>
      <c r="K6" s="134"/>
      <c r="L6" s="134"/>
      <c r="M6" s="134"/>
      <c r="N6" s="134"/>
      <c r="O6" s="328" t="s">
        <v>450</v>
      </c>
      <c r="P6" s="134"/>
      <c r="Q6" s="134"/>
      <c r="R6" s="134"/>
      <c r="S6" s="134"/>
      <c r="T6" s="134"/>
      <c r="U6" s="134"/>
      <c r="V6" s="134"/>
      <c r="W6" s="134"/>
      <c r="X6" s="134"/>
      <c r="Y6" s="134"/>
    </row>
    <row r="8" spans="1:26" s="160" customFormat="1" ht="11.25">
      <c r="A8" s="161" t="s">
        <v>95</v>
      </c>
      <c r="B8" s="162"/>
      <c r="C8" s="162"/>
      <c r="D8" s="162"/>
      <c r="E8" s="163"/>
      <c r="F8" s="161" t="s">
        <v>371</v>
      </c>
      <c r="G8" s="162"/>
      <c r="H8" s="162"/>
      <c r="I8" s="163"/>
      <c r="J8" s="161" t="s">
        <v>412</v>
      </c>
      <c r="K8" s="162"/>
      <c r="L8" s="162"/>
      <c r="M8" s="162"/>
      <c r="N8" s="163"/>
      <c r="O8" s="161" t="s">
        <v>95</v>
      </c>
      <c r="P8" s="162"/>
      <c r="Q8" s="163"/>
      <c r="R8" s="161" t="s">
        <v>371</v>
      </c>
      <c r="S8" s="162"/>
      <c r="T8" s="162"/>
      <c r="U8" s="163"/>
      <c r="V8" s="161" t="s">
        <v>412</v>
      </c>
      <c r="W8" s="162"/>
      <c r="X8" s="162"/>
      <c r="Y8" s="163"/>
      <c r="Z8" s="12"/>
    </row>
    <row r="9" spans="1:26">
      <c r="A9" s="837" t="s">
        <v>869</v>
      </c>
      <c r="B9" s="838"/>
      <c r="C9" s="838"/>
      <c r="D9" s="113"/>
      <c r="E9" s="114"/>
      <c r="F9" s="170"/>
      <c r="G9" s="253"/>
      <c r="H9" s="253"/>
      <c r="I9" s="254"/>
      <c r="J9" s="170"/>
      <c r="K9" s="253"/>
      <c r="L9" s="253"/>
      <c r="M9" s="253"/>
      <c r="N9" s="254"/>
      <c r="O9" s="112" t="s">
        <v>869</v>
      </c>
      <c r="P9" s="113"/>
      <c r="Q9" s="114"/>
      <c r="R9" s="112" t="str">
        <f>IF(F9&lt;&gt;"",F9,"")</f>
        <v/>
      </c>
      <c r="S9" s="113"/>
      <c r="T9" s="113"/>
      <c r="U9" s="114"/>
      <c r="V9" s="112" t="str">
        <f>IF(J9&lt;&gt;"",J9,"")</f>
        <v/>
      </c>
      <c r="W9" s="113"/>
      <c r="X9" s="113"/>
      <c r="Y9" s="114"/>
      <c r="Z9" s="4"/>
    </row>
    <row r="10" spans="1:26" s="160" customFormat="1" ht="11.25">
      <c r="A10" s="161" t="s">
        <v>93</v>
      </c>
      <c r="B10" s="162"/>
      <c r="C10" s="162"/>
      <c r="D10" s="162"/>
      <c r="E10" s="163"/>
      <c r="F10" s="161" t="s">
        <v>373</v>
      </c>
      <c r="G10" s="162"/>
      <c r="H10" s="162"/>
      <c r="I10" s="163"/>
      <c r="J10" s="161" t="s">
        <v>413</v>
      </c>
      <c r="K10" s="162"/>
      <c r="L10" s="162"/>
      <c r="M10" s="162"/>
      <c r="N10" s="163"/>
      <c r="O10" s="161" t="s">
        <v>93</v>
      </c>
      <c r="P10" s="162"/>
      <c r="Q10" s="163"/>
      <c r="R10" s="161" t="s">
        <v>373</v>
      </c>
      <c r="S10" s="162"/>
      <c r="T10" s="162"/>
      <c r="U10" s="163"/>
      <c r="V10" s="161" t="s">
        <v>413</v>
      </c>
      <c r="W10" s="162"/>
      <c r="X10" s="162"/>
      <c r="Y10" s="163"/>
      <c r="Z10" s="12"/>
    </row>
    <row r="11" spans="1:26">
      <c r="A11" s="112" t="s">
        <v>869</v>
      </c>
      <c r="B11" s="113"/>
      <c r="C11" s="113"/>
      <c r="D11" s="113"/>
      <c r="E11" s="114"/>
      <c r="F11" s="170"/>
      <c r="G11" s="253"/>
      <c r="H11" s="253"/>
      <c r="I11" s="254"/>
      <c r="J11" s="170"/>
      <c r="K11" s="253"/>
      <c r="L11" s="253"/>
      <c r="M11" s="253"/>
      <c r="N11" s="254"/>
      <c r="O11" s="112" t="s">
        <v>869</v>
      </c>
      <c r="P11" s="113"/>
      <c r="Q11" s="114"/>
      <c r="R11" s="112" t="str">
        <f>IF(F11&lt;&gt;"",F11,"")</f>
        <v/>
      </c>
      <c r="S11" s="113"/>
      <c r="T11" s="113"/>
      <c r="U11" s="114"/>
      <c r="V11" s="112" t="str">
        <f>IF(J11&lt;&gt;"",J11,"")</f>
        <v/>
      </c>
      <c r="W11" s="113"/>
      <c r="X11" s="113"/>
      <c r="Y11" s="114"/>
      <c r="Z11" s="4"/>
    </row>
    <row r="12" spans="1:26" s="160" customFormat="1">
      <c r="A12" s="161" t="s">
        <v>375</v>
      </c>
      <c r="B12" s="162"/>
      <c r="C12" s="162"/>
      <c r="D12" s="329" t="s">
        <v>451</v>
      </c>
      <c r="E12" s="330"/>
      <c r="F12" s="161" t="s">
        <v>376</v>
      </c>
      <c r="G12" s="162"/>
      <c r="H12" s="162"/>
      <c r="I12" s="163"/>
      <c r="J12" s="161" t="s">
        <v>416</v>
      </c>
      <c r="K12" s="162"/>
      <c r="L12" s="162"/>
      <c r="M12" s="162"/>
      <c r="N12" s="163"/>
      <c r="O12" s="161" t="s">
        <v>375</v>
      </c>
      <c r="P12" s="116"/>
      <c r="Q12" s="117"/>
      <c r="R12" s="161" t="s">
        <v>376</v>
      </c>
      <c r="S12" s="162"/>
      <c r="T12" s="162"/>
      <c r="U12" s="163"/>
      <c r="V12" s="161" t="s">
        <v>416</v>
      </c>
      <c r="W12" s="162"/>
      <c r="X12" s="162"/>
      <c r="Y12" s="163"/>
      <c r="Z12" s="12"/>
    </row>
    <row r="13" spans="1:26">
      <c r="A13" s="170"/>
      <c r="B13" s="253"/>
      <c r="C13" s="253"/>
      <c r="D13" s="299" t="s">
        <v>452</v>
      </c>
      <c r="E13" s="300" t="s">
        <v>453</v>
      </c>
      <c r="F13" s="170"/>
      <c r="G13" s="253"/>
      <c r="H13" s="253"/>
      <c r="I13" s="254"/>
      <c r="J13" s="170"/>
      <c r="K13" s="253"/>
      <c r="L13" s="253"/>
      <c r="M13" s="253"/>
      <c r="N13" s="254"/>
      <c r="O13" s="112" t="str">
        <f>IF(A13&lt;&gt;"",A13,"")</f>
        <v/>
      </c>
      <c r="P13" s="113"/>
      <c r="Q13" s="114"/>
      <c r="R13" s="112" t="str">
        <f>IF(F13&lt;&gt;"",F13,"")</f>
        <v/>
      </c>
      <c r="S13" s="113"/>
      <c r="T13" s="113"/>
      <c r="U13" s="114"/>
      <c r="V13" s="112" t="str">
        <f>IF(J13&lt;&gt;"",J13,"")</f>
        <v/>
      </c>
      <c r="W13" s="113"/>
      <c r="X13" s="113"/>
      <c r="Y13" s="114"/>
      <c r="Z13" s="4"/>
    </row>
    <row r="14" spans="1:26">
      <c r="A14" s="161" t="s">
        <v>454</v>
      </c>
      <c r="B14" s="162"/>
      <c r="C14" s="162"/>
      <c r="D14" s="162"/>
      <c r="E14" s="163"/>
      <c r="F14" s="161" t="s">
        <v>455</v>
      </c>
      <c r="G14" s="163"/>
      <c r="H14" s="161" t="s">
        <v>456</v>
      </c>
      <c r="I14" s="163"/>
      <c r="J14" s="161" t="s">
        <v>457</v>
      </c>
      <c r="K14" s="163"/>
      <c r="L14" s="161" t="s">
        <v>374</v>
      </c>
      <c r="M14" s="162"/>
      <c r="N14" s="163"/>
      <c r="O14" s="161" t="s">
        <v>454</v>
      </c>
      <c r="P14" s="116"/>
      <c r="Q14" s="117"/>
      <c r="R14" s="161" t="s">
        <v>455</v>
      </c>
      <c r="S14" s="163"/>
      <c r="T14" s="161" t="s">
        <v>456</v>
      </c>
      <c r="U14" s="163"/>
      <c r="V14" s="161" t="s">
        <v>457</v>
      </c>
      <c r="W14" s="163"/>
      <c r="X14" s="161" t="s">
        <v>374</v>
      </c>
      <c r="Y14" s="163"/>
      <c r="Z14" s="12"/>
    </row>
    <row r="15" spans="1:26">
      <c r="A15" s="170"/>
      <c r="B15" s="253"/>
      <c r="C15" s="253"/>
      <c r="D15" s="253"/>
      <c r="E15" s="254"/>
      <c r="F15" s="331" t="str">
        <f>IF(C19&lt;&gt;"",COUNT(C19:C21),"")</f>
        <v/>
      </c>
      <c r="G15" s="332"/>
      <c r="H15" s="331" t="str">
        <f>IF(C19&lt;&gt;"",COUNT(C19:L19),"")</f>
        <v/>
      </c>
      <c r="I15" s="332"/>
      <c r="J15" s="331" t="str">
        <f>IF(C19&lt;&gt;"",COUNT(C19,C24,C29),"")</f>
        <v/>
      </c>
      <c r="K15" s="333"/>
      <c r="L15" s="170"/>
      <c r="M15" s="253"/>
      <c r="N15" s="254"/>
      <c r="O15" s="112" t="str">
        <f>IF(A15&lt;&gt;"",A15,"")</f>
        <v/>
      </c>
      <c r="P15" s="113"/>
      <c r="Q15" s="114"/>
      <c r="R15" s="334" t="str">
        <f>F15</f>
        <v/>
      </c>
      <c r="S15" s="333"/>
      <c r="T15" s="334" t="str">
        <f>H15</f>
        <v/>
      </c>
      <c r="U15" s="333"/>
      <c r="V15" s="334" t="str">
        <f>J15</f>
        <v/>
      </c>
      <c r="W15" s="333"/>
      <c r="X15" s="112" t="str">
        <f>IF(L15&lt;&gt;"",L15,"")</f>
        <v/>
      </c>
      <c r="Y15" s="114"/>
      <c r="Z15" s="4"/>
    </row>
    <row r="16" spans="1:26" ht="13.5" thickBot="1">
      <c r="A16" s="4"/>
      <c r="B16" s="4"/>
      <c r="C16" s="4"/>
      <c r="D16" s="335"/>
      <c r="E16" s="335" t="str">
        <f>IF(D13&gt;E13,"ENTER LOWER TOLERANCE IN D9","")</f>
        <v/>
      </c>
      <c r="F16" s="4" t="str">
        <f>IF(C19&lt;&gt;"",IF(F15*H15*J15&lt;90,"DERIVED RESULTS MAY NOT BE STATISTICALLY SOUND",""),"")</f>
        <v/>
      </c>
      <c r="G16" s="5"/>
      <c r="H16" s="4"/>
      <c r="I16" s="5"/>
      <c r="J16" s="4"/>
      <c r="K16" s="5"/>
      <c r="L16" s="4"/>
      <c r="M16" s="4"/>
      <c r="N16" s="4"/>
      <c r="O16" s="4"/>
      <c r="P16" s="4"/>
      <c r="Q16" s="4"/>
      <c r="R16" s="4"/>
      <c r="S16" s="5"/>
      <c r="T16" s="4"/>
      <c r="U16" s="5"/>
      <c r="V16" s="4"/>
      <c r="W16" s="5"/>
      <c r="X16" s="4"/>
      <c r="Y16" s="4"/>
      <c r="Z16" s="4"/>
    </row>
    <row r="17" spans="1:25" ht="15.75">
      <c r="A17" s="336" t="s">
        <v>458</v>
      </c>
      <c r="B17" s="199"/>
      <c r="C17" s="337" t="s">
        <v>307</v>
      </c>
      <c r="D17" s="338"/>
      <c r="E17" s="338"/>
      <c r="F17" s="338"/>
      <c r="G17" s="338"/>
      <c r="H17" s="338"/>
      <c r="I17" s="338"/>
      <c r="J17" s="338"/>
      <c r="K17" s="338"/>
      <c r="L17" s="339"/>
      <c r="M17" s="340" t="s">
        <v>459</v>
      </c>
      <c r="N17" s="341"/>
      <c r="O17" s="342"/>
      <c r="P17" s="343"/>
      <c r="Q17" s="343"/>
      <c r="R17" s="344" t="s">
        <v>385</v>
      </c>
      <c r="S17" s="343"/>
      <c r="T17" s="343"/>
      <c r="U17" s="345"/>
      <c r="V17" s="346" t="s">
        <v>494</v>
      </c>
      <c r="W17" s="347"/>
      <c r="X17" s="348"/>
      <c r="Y17" s="349"/>
    </row>
    <row r="18" spans="1:25" ht="15.75" customHeight="1" thickBot="1">
      <c r="A18" s="350" t="s">
        <v>461</v>
      </c>
      <c r="B18" s="351"/>
      <c r="C18" s="352">
        <v>1</v>
      </c>
      <c r="D18" s="352">
        <v>2</v>
      </c>
      <c r="E18" s="352">
        <v>3</v>
      </c>
      <c r="F18" s="352">
        <v>4</v>
      </c>
      <c r="G18" s="352">
        <v>5</v>
      </c>
      <c r="H18" s="352">
        <v>6</v>
      </c>
      <c r="I18" s="352">
        <v>7</v>
      </c>
      <c r="J18" s="352">
        <v>8</v>
      </c>
      <c r="K18" s="352">
        <v>9</v>
      </c>
      <c r="L18" s="352">
        <v>10</v>
      </c>
      <c r="M18" s="108"/>
      <c r="N18" s="353"/>
      <c r="O18" s="354" t="s">
        <v>462</v>
      </c>
      <c r="P18" s="116"/>
      <c r="Q18" s="116"/>
      <c r="R18" s="116"/>
      <c r="S18" s="116"/>
      <c r="T18" s="116"/>
      <c r="U18" s="117"/>
      <c r="V18" s="115"/>
      <c r="W18" s="116"/>
      <c r="X18" s="116"/>
      <c r="Y18" s="355"/>
    </row>
    <row r="19" spans="1:25" ht="18" customHeight="1">
      <c r="A19" s="356" t="s">
        <v>463</v>
      </c>
      <c r="B19" s="357">
        <v>1</v>
      </c>
      <c r="C19" s="358"/>
      <c r="D19" s="358"/>
      <c r="E19" s="358"/>
      <c r="F19" s="358"/>
      <c r="G19" s="358"/>
      <c r="H19" s="358"/>
      <c r="I19" s="358"/>
      <c r="J19" s="358"/>
      <c r="K19" s="358"/>
      <c r="L19" s="358"/>
      <c r="M19" s="359"/>
      <c r="N19" s="360" t="str">
        <f t="shared" ref="N19:N33" si="0">IF(C19&lt;&gt;"",AVERAGE(C19:L19),"")</f>
        <v/>
      </c>
      <c r="O19" s="361" t="s">
        <v>464</v>
      </c>
      <c r="P19" s="5" t="s">
        <v>389</v>
      </c>
      <c r="Q19" s="362" t="s">
        <v>647</v>
      </c>
      <c r="R19" s="4"/>
      <c r="S19" s="4"/>
      <c r="T19" s="363" t="s">
        <v>455</v>
      </c>
      <c r="U19" s="364" t="s">
        <v>465</v>
      </c>
      <c r="V19" s="150" t="s">
        <v>466</v>
      </c>
      <c r="W19" s="5" t="s">
        <v>389</v>
      </c>
      <c r="X19" s="4" t="s">
        <v>495</v>
      </c>
      <c r="Y19" s="365"/>
    </row>
    <row r="20" spans="1:25" ht="18" customHeight="1">
      <c r="A20" s="366">
        <v>2</v>
      </c>
      <c r="B20" s="325">
        <v>2</v>
      </c>
      <c r="C20" s="367"/>
      <c r="D20" s="367"/>
      <c r="E20" s="367"/>
      <c r="F20" s="367"/>
      <c r="G20" s="367"/>
      <c r="H20" s="367"/>
      <c r="I20" s="367"/>
      <c r="J20" s="367"/>
      <c r="K20" s="367"/>
      <c r="L20" s="367"/>
      <c r="M20" s="113"/>
      <c r="N20" s="368" t="str">
        <f t="shared" si="0"/>
        <v/>
      </c>
      <c r="O20" s="2"/>
      <c r="P20" s="5" t="s">
        <v>389</v>
      </c>
      <c r="Q20" s="4" t="str">
        <f>IF(C19&lt;&gt;"",CONCATENATE(TEXT($N$36,"0.000")," x ",CHOOSE($F$15,0,U20,U21)),"")</f>
        <v/>
      </c>
      <c r="R20" s="4"/>
      <c r="S20" s="4"/>
      <c r="T20" s="369">
        <v>2</v>
      </c>
      <c r="U20" s="370">
        <v>0.88649999999999995</v>
      </c>
      <c r="V20" s="150"/>
      <c r="W20" s="5" t="s">
        <v>389</v>
      </c>
      <c r="X20" s="48" t="str">
        <f>IF(C19&lt;&gt;"",CONCATENATE("100(",TEXT($Q$21,"0.000"),"/",TEXT($Q$39,"0.000"),")"),"")</f>
        <v/>
      </c>
      <c r="Y20" s="365"/>
    </row>
    <row r="21" spans="1:25" ht="18" customHeight="1">
      <c r="A21" s="371">
        <f>A20+1</f>
        <v>3</v>
      </c>
      <c r="B21" s="321">
        <v>3</v>
      </c>
      <c r="C21" s="367"/>
      <c r="D21" s="367"/>
      <c r="E21" s="367"/>
      <c r="F21" s="367"/>
      <c r="G21" s="367"/>
      <c r="H21" s="367"/>
      <c r="I21" s="367"/>
      <c r="J21" s="367"/>
      <c r="K21" s="367"/>
      <c r="L21" s="367"/>
      <c r="M21" s="113"/>
      <c r="N21" s="368" t="str">
        <f t="shared" si="0"/>
        <v/>
      </c>
      <c r="O21" s="372"/>
      <c r="P21" s="133" t="s">
        <v>389</v>
      </c>
      <c r="Q21" s="287" t="str">
        <f>IF(C19&lt;&gt;"",$N$36*(CHOOSE($F$15,0,U20,U21)),"")</f>
        <v/>
      </c>
      <c r="R21" s="113"/>
      <c r="S21" s="113"/>
      <c r="T21" s="373">
        <v>3</v>
      </c>
      <c r="U21" s="321">
        <v>0.5907</v>
      </c>
      <c r="V21" s="112"/>
      <c r="W21" s="133" t="s">
        <v>389</v>
      </c>
      <c r="X21" s="374" t="str">
        <f>IF(C19&lt;&gt;"",100*($Q$21/$Q$39),"")</f>
        <v/>
      </c>
      <c r="Y21" s="375"/>
    </row>
    <row r="22" spans="1:25" ht="18" customHeight="1">
      <c r="A22" s="371">
        <f>A21+1</f>
        <v>4</v>
      </c>
      <c r="B22" s="321" t="s">
        <v>468</v>
      </c>
      <c r="C22" s="376" t="str">
        <f t="shared" ref="C22:L22" si="1">IF(C19&lt;&gt;"",SUM(C19:C21)/COUNT(C19:C21),"")</f>
        <v/>
      </c>
      <c r="D22" s="376" t="str">
        <f t="shared" si="1"/>
        <v/>
      </c>
      <c r="E22" s="376" t="str">
        <f t="shared" si="1"/>
        <v/>
      </c>
      <c r="F22" s="376" t="str">
        <f t="shared" si="1"/>
        <v/>
      </c>
      <c r="G22" s="376" t="str">
        <f t="shared" si="1"/>
        <v/>
      </c>
      <c r="H22" s="376" t="str">
        <f t="shared" si="1"/>
        <v/>
      </c>
      <c r="I22" s="376" t="str">
        <f t="shared" si="1"/>
        <v/>
      </c>
      <c r="J22" s="376" t="str">
        <f t="shared" si="1"/>
        <v/>
      </c>
      <c r="K22" s="376" t="str">
        <f t="shared" si="1"/>
        <v/>
      </c>
      <c r="L22" s="376" t="str">
        <f t="shared" si="1"/>
        <v/>
      </c>
      <c r="M22" s="377" t="s">
        <v>648</v>
      </c>
      <c r="N22" s="368" t="str">
        <f t="shared" si="0"/>
        <v/>
      </c>
      <c r="O22" s="354" t="s">
        <v>469</v>
      </c>
      <c r="P22" s="116"/>
      <c r="Q22" s="116"/>
      <c r="R22" s="116"/>
      <c r="S22" s="116"/>
      <c r="T22" s="116"/>
      <c r="U22" s="117"/>
      <c r="V22" s="115"/>
      <c r="W22" s="116"/>
      <c r="X22" s="116"/>
      <c r="Y22" s="355"/>
    </row>
    <row r="23" spans="1:25" ht="18" customHeight="1" thickBot="1">
      <c r="A23" s="378">
        <f>A22+1</f>
        <v>5</v>
      </c>
      <c r="B23" s="379" t="s">
        <v>160</v>
      </c>
      <c r="C23" s="380" t="str">
        <f t="shared" ref="C23:L23" si="2">IF(C19&lt;&gt;"",MAX(C19:C21)-MIN(C19:C21),"")</f>
        <v/>
      </c>
      <c r="D23" s="380" t="str">
        <f t="shared" si="2"/>
        <v/>
      </c>
      <c r="E23" s="380" t="str">
        <f t="shared" si="2"/>
        <v/>
      </c>
      <c r="F23" s="380" t="str">
        <f t="shared" si="2"/>
        <v/>
      </c>
      <c r="G23" s="380" t="str">
        <f t="shared" si="2"/>
        <v/>
      </c>
      <c r="H23" s="380" t="str">
        <f t="shared" si="2"/>
        <v/>
      </c>
      <c r="I23" s="380" t="str">
        <f t="shared" si="2"/>
        <v/>
      </c>
      <c r="J23" s="380" t="str">
        <f t="shared" si="2"/>
        <v/>
      </c>
      <c r="K23" s="380" t="str">
        <f t="shared" si="2"/>
        <v/>
      </c>
      <c r="L23" s="380" t="str">
        <f t="shared" si="2"/>
        <v/>
      </c>
      <c r="M23" s="381" t="s">
        <v>649</v>
      </c>
      <c r="N23" s="368" t="str">
        <f t="shared" si="0"/>
        <v/>
      </c>
      <c r="O23" s="361" t="s">
        <v>470</v>
      </c>
      <c r="P23" s="5" t="s">
        <v>389</v>
      </c>
      <c r="Q23" s="4" t="s">
        <v>650</v>
      </c>
      <c r="R23" s="4"/>
      <c r="S23" s="4"/>
      <c r="T23" s="4"/>
      <c r="U23" s="110"/>
      <c r="V23" s="150" t="s">
        <v>471</v>
      </c>
      <c r="W23" s="5" t="s">
        <v>389</v>
      </c>
      <c r="X23" s="4" t="s">
        <v>496</v>
      </c>
      <c r="Y23" s="365"/>
    </row>
    <row r="24" spans="1:25" ht="18" customHeight="1">
      <c r="A24" s="356" t="s">
        <v>473</v>
      </c>
      <c r="B24" s="357">
        <v>1</v>
      </c>
      <c r="C24" s="358"/>
      <c r="D24" s="358"/>
      <c r="E24" s="358"/>
      <c r="F24" s="382"/>
      <c r="G24" s="382"/>
      <c r="H24" s="382"/>
      <c r="I24" s="382"/>
      <c r="J24" s="382"/>
      <c r="K24" s="382"/>
      <c r="L24" s="382"/>
      <c r="M24" s="359"/>
      <c r="N24" s="360" t="str">
        <f t="shared" si="0"/>
        <v/>
      </c>
      <c r="O24" s="2"/>
      <c r="P24" s="5" t="s">
        <v>389</v>
      </c>
      <c r="Q24" s="284" t="str">
        <f>IF(C19&lt;&gt;"",CONCATENATE("{(",TEXT($N$37,"0.000")," x ",CHOOSE($J$15,0,T27,U27),")^2 - (",TEXT($Q$21,"0.000")," ^2/(",$H$15," x ",$F$15,"))}^1/2"),"")</f>
        <v/>
      </c>
      <c r="R24" s="4"/>
      <c r="S24" s="4"/>
      <c r="T24" s="4"/>
      <c r="U24" s="110"/>
      <c r="V24" s="150"/>
      <c r="W24" s="5" t="s">
        <v>389</v>
      </c>
      <c r="X24" s="4" t="str">
        <f>IF(C19&lt;&gt;"",CONCATENATE("100(",TEXT($Q$25,"0.000"),"/",TEXT($Q$39,"0.000"),")"),"")</f>
        <v/>
      </c>
      <c r="Y24" s="365"/>
    </row>
    <row r="25" spans="1:25" ht="18" customHeight="1">
      <c r="A25" s="371">
        <v>7</v>
      </c>
      <c r="B25" s="325">
        <v>2</v>
      </c>
      <c r="C25" s="367"/>
      <c r="D25" s="367"/>
      <c r="E25" s="367"/>
      <c r="F25" s="383"/>
      <c r="G25" s="383"/>
      <c r="H25" s="383"/>
      <c r="I25" s="383"/>
      <c r="J25" s="383"/>
      <c r="K25" s="383"/>
      <c r="L25" s="383"/>
      <c r="M25" s="113"/>
      <c r="N25" s="368" t="str">
        <f t="shared" si="0"/>
        <v/>
      </c>
      <c r="O25" s="2"/>
      <c r="P25" s="5" t="s">
        <v>389</v>
      </c>
      <c r="Q25" s="384" t="str">
        <f>IF(C19="","",IF(($N$37*CHOOSE($J$15,0,T27,U27))^2-$Q$21^2/($H$15*$F$15)&lt;0,0,(($N$37*CHOOSE($J$15,0,T27,U27))^2-$Q$21^2/($H$15*$F$15))^(1/2)))</f>
        <v/>
      </c>
      <c r="R25" s="4"/>
      <c r="S25" s="4"/>
      <c r="T25" s="4"/>
      <c r="U25" s="110"/>
      <c r="V25" s="150"/>
      <c r="W25" s="5" t="s">
        <v>389</v>
      </c>
      <c r="X25" s="385" t="str">
        <f>IF(C19&lt;&gt;"",100*($Q$25/$Q$39),"")</f>
        <v/>
      </c>
      <c r="Y25" s="365"/>
    </row>
    <row r="26" spans="1:25" ht="18" customHeight="1">
      <c r="A26" s="371">
        <f>A25+1</f>
        <v>8</v>
      </c>
      <c r="B26" s="321">
        <v>3</v>
      </c>
      <c r="C26" s="367"/>
      <c r="D26" s="367"/>
      <c r="E26" s="367"/>
      <c r="F26" s="383"/>
      <c r="G26" s="383"/>
      <c r="H26" s="383"/>
      <c r="I26" s="383"/>
      <c r="J26" s="383"/>
      <c r="K26" s="383"/>
      <c r="L26" s="383"/>
      <c r="M26" s="113"/>
      <c r="N26" s="368" t="str">
        <f t="shared" si="0"/>
        <v/>
      </c>
      <c r="O26" s="2"/>
      <c r="P26" s="5"/>
      <c r="Q26" s="384"/>
      <c r="R26" s="4"/>
      <c r="S26" s="386" t="s">
        <v>457</v>
      </c>
      <c r="T26" s="363">
        <v>2</v>
      </c>
      <c r="U26" s="363">
        <v>3</v>
      </c>
      <c r="V26" s="112"/>
      <c r="W26" s="113"/>
      <c r="X26" s="113"/>
      <c r="Y26" s="375"/>
    </row>
    <row r="27" spans="1:25" ht="18" customHeight="1">
      <c r="A27" s="371">
        <f>A26+1</f>
        <v>9</v>
      </c>
      <c r="B27" s="321" t="s">
        <v>468</v>
      </c>
      <c r="C27" s="376" t="str">
        <f t="shared" ref="C27:L27" si="3">IF(C24&lt;&gt;"",SUM(C24:C26)/COUNT(C24:C26),"")</f>
        <v/>
      </c>
      <c r="D27" s="376" t="str">
        <f t="shared" si="3"/>
        <v/>
      </c>
      <c r="E27" s="376" t="str">
        <f t="shared" si="3"/>
        <v/>
      </c>
      <c r="F27" s="376" t="str">
        <f t="shared" si="3"/>
        <v/>
      </c>
      <c r="G27" s="376" t="str">
        <f t="shared" si="3"/>
        <v/>
      </c>
      <c r="H27" s="376" t="str">
        <f t="shared" si="3"/>
        <v/>
      </c>
      <c r="I27" s="376" t="str">
        <f t="shared" si="3"/>
        <v/>
      </c>
      <c r="J27" s="376" t="str">
        <f t="shared" si="3"/>
        <v/>
      </c>
      <c r="K27" s="376" t="str">
        <f t="shared" si="3"/>
        <v/>
      </c>
      <c r="L27" s="376" t="str">
        <f t="shared" si="3"/>
        <v/>
      </c>
      <c r="M27" s="377" t="s">
        <v>651</v>
      </c>
      <c r="N27" s="368" t="str">
        <f t="shared" si="0"/>
        <v/>
      </c>
      <c r="O27" s="372" t="s">
        <v>474</v>
      </c>
      <c r="P27" s="113"/>
      <c r="Q27" s="113"/>
      <c r="R27" s="113"/>
      <c r="S27" s="270" t="s">
        <v>652</v>
      </c>
      <c r="T27" s="270">
        <v>0.7087</v>
      </c>
      <c r="U27" s="387">
        <v>0.52359999999999995</v>
      </c>
      <c r="V27" s="115"/>
      <c r="W27" s="116"/>
      <c r="X27" s="116"/>
      <c r="Y27" s="355"/>
    </row>
    <row r="28" spans="1:25" ht="18" customHeight="1" thickBot="1">
      <c r="A28" s="378">
        <f>A27+1</f>
        <v>10</v>
      </c>
      <c r="B28" s="379" t="s">
        <v>160</v>
      </c>
      <c r="C28" s="380" t="str">
        <f t="shared" ref="C28:L28" si="4">IF(C24&lt;&gt;"",MAX(C24:C26)-MIN(C24:C26),"")</f>
        <v/>
      </c>
      <c r="D28" s="380" t="str">
        <f t="shared" si="4"/>
        <v/>
      </c>
      <c r="E28" s="380" t="str">
        <f t="shared" si="4"/>
        <v/>
      </c>
      <c r="F28" s="380" t="str">
        <f t="shared" si="4"/>
        <v/>
      </c>
      <c r="G28" s="380" t="str">
        <f t="shared" si="4"/>
        <v/>
      </c>
      <c r="H28" s="380" t="str">
        <f t="shared" si="4"/>
        <v/>
      </c>
      <c r="I28" s="380" t="str">
        <f t="shared" si="4"/>
        <v/>
      </c>
      <c r="J28" s="380" t="str">
        <f t="shared" si="4"/>
        <v/>
      </c>
      <c r="K28" s="380" t="str">
        <f t="shared" si="4"/>
        <v/>
      </c>
      <c r="L28" s="380" t="str">
        <f t="shared" si="4"/>
        <v/>
      </c>
      <c r="M28" s="381" t="s">
        <v>653</v>
      </c>
      <c r="N28" s="368" t="str">
        <f t="shared" si="0"/>
        <v/>
      </c>
      <c r="O28" s="354" t="s">
        <v>475</v>
      </c>
      <c r="P28" s="116"/>
      <c r="Q28" s="116"/>
      <c r="R28" s="116"/>
      <c r="S28" s="116"/>
      <c r="T28" s="116"/>
      <c r="U28" s="117"/>
      <c r="V28" s="150" t="s">
        <v>476</v>
      </c>
      <c r="W28" s="5" t="s">
        <v>389</v>
      </c>
      <c r="X28" s="4" t="s">
        <v>497</v>
      </c>
      <c r="Y28" s="365"/>
    </row>
    <row r="29" spans="1:25" ht="18" customHeight="1">
      <c r="A29" s="356" t="s">
        <v>478</v>
      </c>
      <c r="B29" s="357">
        <v>1</v>
      </c>
      <c r="C29" s="358"/>
      <c r="D29" s="358"/>
      <c r="E29" s="358"/>
      <c r="F29" s="358"/>
      <c r="G29" s="358"/>
      <c r="H29" s="358"/>
      <c r="I29" s="358"/>
      <c r="J29" s="358"/>
      <c r="K29" s="358"/>
      <c r="L29" s="358"/>
      <c r="M29" s="359"/>
      <c r="N29" s="360" t="str">
        <f t="shared" si="0"/>
        <v/>
      </c>
      <c r="O29" s="361" t="s">
        <v>479</v>
      </c>
      <c r="P29" s="5" t="s">
        <v>389</v>
      </c>
      <c r="Q29" s="4" t="s">
        <v>654</v>
      </c>
      <c r="R29" s="4"/>
      <c r="S29" s="4"/>
      <c r="T29" s="363" t="s">
        <v>456</v>
      </c>
      <c r="U29" s="364" t="s">
        <v>655</v>
      </c>
      <c r="V29" s="150"/>
      <c r="W29" s="5" t="s">
        <v>389</v>
      </c>
      <c r="X29" s="4" t="str">
        <f>IF(C19&lt;&gt;"",CONCATENATE("100(",TEXT($Q$31,"0.000"),"/",TEXT($Q$39,"0.000"),")"),"")</f>
        <v/>
      </c>
      <c r="Y29" s="365"/>
    </row>
    <row r="30" spans="1:25" ht="18" customHeight="1">
      <c r="A30" s="371">
        <v>12</v>
      </c>
      <c r="B30" s="325">
        <v>2</v>
      </c>
      <c r="C30" s="367"/>
      <c r="D30" s="367"/>
      <c r="E30" s="367"/>
      <c r="F30" s="367"/>
      <c r="G30" s="367"/>
      <c r="H30" s="367"/>
      <c r="I30" s="367"/>
      <c r="J30" s="367"/>
      <c r="K30" s="367"/>
      <c r="L30" s="367"/>
      <c r="M30" s="113"/>
      <c r="N30" s="368" t="str">
        <f t="shared" si="0"/>
        <v/>
      </c>
      <c r="O30" s="2"/>
      <c r="P30" s="5" t="s">
        <v>389</v>
      </c>
      <c r="Q30" s="388" t="str">
        <f>IF(C19&lt;&gt;"",CONCATENATE("{(",TEXT($Q$21,"0.000"),"^2 + ",TEXT($Q$25,"0.000"),"^2)}^1/2"),"")</f>
        <v/>
      </c>
      <c r="R30" s="4"/>
      <c r="S30" s="4"/>
      <c r="T30" s="369">
        <v>2</v>
      </c>
      <c r="U30" s="389">
        <v>0.7087</v>
      </c>
      <c r="V30" s="150"/>
      <c r="W30" s="5" t="s">
        <v>389</v>
      </c>
      <c r="X30" s="385" t="str">
        <f>IF(C19&lt;&gt;"",100*($Q$31/$Q$39),"")</f>
        <v/>
      </c>
      <c r="Y30" s="365"/>
    </row>
    <row r="31" spans="1:25" ht="18" customHeight="1">
      <c r="A31" s="371">
        <f>A30+1</f>
        <v>13</v>
      </c>
      <c r="B31" s="321">
        <v>3</v>
      </c>
      <c r="C31" s="367"/>
      <c r="D31" s="367"/>
      <c r="E31" s="367"/>
      <c r="F31" s="367"/>
      <c r="G31" s="367"/>
      <c r="H31" s="367"/>
      <c r="I31" s="367"/>
      <c r="J31" s="367"/>
      <c r="K31" s="367"/>
      <c r="L31" s="367"/>
      <c r="M31" s="113"/>
      <c r="N31" s="368" t="str">
        <f t="shared" si="0"/>
        <v/>
      </c>
      <c r="O31" s="372"/>
      <c r="P31" s="133" t="s">
        <v>389</v>
      </c>
      <c r="Q31" s="288" t="str">
        <f>IF(C19&lt;&gt;"",($Q$21^2+$Q$25^2)^(1/2),"")</f>
        <v/>
      </c>
      <c r="R31" s="113"/>
      <c r="S31" s="113"/>
      <c r="T31" s="369">
        <v>3</v>
      </c>
      <c r="U31" s="389">
        <v>0.52359999999999995</v>
      </c>
      <c r="V31" s="390" t="str">
        <f>IF(C20&lt;&gt;"",IF(X30&lt;10,"Gage system O.K",IF(X30&lt;30,"Gage system may be acceptable","Gage system needs improvement")),"")</f>
        <v/>
      </c>
      <c r="W31" s="3"/>
      <c r="X31" s="391"/>
      <c r="Y31" s="392"/>
    </row>
    <row r="32" spans="1:25" ht="18" customHeight="1">
      <c r="A32" s="371">
        <f>A31+1</f>
        <v>14</v>
      </c>
      <c r="B32" s="321" t="s">
        <v>468</v>
      </c>
      <c r="C32" s="376" t="str">
        <f t="shared" ref="C32:L32" si="5">IF(C29&lt;&gt;"",SUM(C29:C31)/COUNT(C29:C31),"")</f>
        <v/>
      </c>
      <c r="D32" s="376" t="str">
        <f t="shared" si="5"/>
        <v/>
      </c>
      <c r="E32" s="376" t="str">
        <f t="shared" si="5"/>
        <v/>
      </c>
      <c r="F32" s="376" t="str">
        <f t="shared" si="5"/>
        <v/>
      </c>
      <c r="G32" s="376" t="str">
        <f t="shared" si="5"/>
        <v/>
      </c>
      <c r="H32" s="376" t="str">
        <f t="shared" si="5"/>
        <v/>
      </c>
      <c r="I32" s="376" t="str">
        <f t="shared" si="5"/>
        <v/>
      </c>
      <c r="J32" s="376" t="str">
        <f t="shared" si="5"/>
        <v/>
      </c>
      <c r="K32" s="376" t="str">
        <f t="shared" si="5"/>
        <v/>
      </c>
      <c r="L32" s="376" t="str">
        <f t="shared" si="5"/>
        <v/>
      </c>
      <c r="M32" s="377" t="s">
        <v>656</v>
      </c>
      <c r="N32" s="368" t="str">
        <f t="shared" si="0"/>
        <v/>
      </c>
      <c r="O32" s="354" t="s">
        <v>480</v>
      </c>
      <c r="P32" s="116"/>
      <c r="Q32" s="116"/>
      <c r="R32" s="116"/>
      <c r="S32" s="116"/>
      <c r="T32" s="369">
        <v>4</v>
      </c>
      <c r="U32" s="389">
        <v>0.44640000000000002</v>
      </c>
      <c r="V32" s="115"/>
      <c r="W32" s="116"/>
      <c r="X32" s="116"/>
      <c r="Y32" s="355"/>
    </row>
    <row r="33" spans="1:25" ht="18" customHeight="1" thickBot="1">
      <c r="A33" s="378">
        <f>A32+1</f>
        <v>15</v>
      </c>
      <c r="B33" s="379" t="s">
        <v>160</v>
      </c>
      <c r="C33" s="380" t="str">
        <f t="shared" ref="C33:L33" si="6">IF(C29&lt;&gt;"",MAX(C29:C31)-MIN(C29:C31),"")</f>
        <v/>
      </c>
      <c r="D33" s="380" t="str">
        <f t="shared" si="6"/>
        <v/>
      </c>
      <c r="E33" s="380" t="str">
        <f t="shared" si="6"/>
        <v/>
      </c>
      <c r="F33" s="380" t="str">
        <f t="shared" si="6"/>
        <v/>
      </c>
      <c r="G33" s="380" t="str">
        <f t="shared" si="6"/>
        <v/>
      </c>
      <c r="H33" s="380" t="str">
        <f t="shared" si="6"/>
        <v/>
      </c>
      <c r="I33" s="380" t="str">
        <f t="shared" si="6"/>
        <v/>
      </c>
      <c r="J33" s="380" t="str">
        <f t="shared" si="6"/>
        <v/>
      </c>
      <c r="K33" s="380" t="str">
        <f t="shared" si="6"/>
        <v/>
      </c>
      <c r="L33" s="380" t="str">
        <f t="shared" si="6"/>
        <v/>
      </c>
      <c r="M33" s="381" t="s">
        <v>657</v>
      </c>
      <c r="N33" s="368" t="str">
        <f t="shared" si="0"/>
        <v/>
      </c>
      <c r="O33" s="361" t="s">
        <v>481</v>
      </c>
      <c r="P33" s="5" t="s">
        <v>389</v>
      </c>
      <c r="Q33" s="4" t="s">
        <v>658</v>
      </c>
      <c r="R33" s="4"/>
      <c r="S33" s="4"/>
      <c r="T33" s="369">
        <v>5</v>
      </c>
      <c r="U33" s="389">
        <v>0.4032</v>
      </c>
      <c r="V33" s="150" t="s">
        <v>482</v>
      </c>
      <c r="W33" s="5" t="s">
        <v>389</v>
      </c>
      <c r="X33" s="4" t="s">
        <v>498</v>
      </c>
      <c r="Y33" s="365"/>
    </row>
    <row r="34" spans="1:25" ht="18" customHeight="1">
      <c r="A34" s="393" t="s">
        <v>484</v>
      </c>
      <c r="B34" s="199"/>
      <c r="C34" s="394"/>
      <c r="D34" s="394"/>
      <c r="E34" s="394"/>
      <c r="F34" s="394"/>
      <c r="G34" s="394"/>
      <c r="H34" s="394"/>
      <c r="I34" s="394"/>
      <c r="J34" s="394"/>
      <c r="K34" s="394"/>
      <c r="L34" s="394"/>
      <c r="M34" s="395" t="s">
        <v>485</v>
      </c>
      <c r="N34" s="396" t="str">
        <f>IF(C19&lt;&gt;"",AVERAGE(C35:L35),"")</f>
        <v/>
      </c>
      <c r="O34" s="361"/>
      <c r="P34" s="5" t="s">
        <v>389</v>
      </c>
      <c r="Q34" s="4" t="str">
        <f>IF(C19&lt;&gt;"",CONCATENATE(TEXT($N$35,"0.000")," x ",CHOOSE($H$15,0,U30,U31,U32,U33,U34,U35,U36,U37,U38)),"")</f>
        <v/>
      </c>
      <c r="R34" s="4"/>
      <c r="S34" s="4"/>
      <c r="T34" s="369">
        <v>6</v>
      </c>
      <c r="U34" s="389">
        <v>0.3745</v>
      </c>
      <c r="V34" s="150"/>
      <c r="W34" s="5" t="s">
        <v>389</v>
      </c>
      <c r="X34" s="284" t="str">
        <f>IF(C19&lt;&gt;"",CONCATENATE("100(",TEXT($Q$35,"0.000"),"/",TEXT($Q$39,"0.000"),")"),"")</f>
        <v/>
      </c>
      <c r="Y34" s="365"/>
    </row>
    <row r="35" spans="1:25" ht="18" customHeight="1" thickBot="1">
      <c r="A35" s="397" t="s">
        <v>486</v>
      </c>
      <c r="B35" s="351"/>
      <c r="C35" s="398" t="str">
        <f t="shared" ref="C35:L35" si="7">IF(C22&lt;&gt;"",SUM(C22,C27,C32)/COUNT(C22,C27,C32),"")</f>
        <v/>
      </c>
      <c r="D35" s="398" t="str">
        <f t="shared" si="7"/>
        <v/>
      </c>
      <c r="E35" s="398" t="str">
        <f t="shared" si="7"/>
        <v/>
      </c>
      <c r="F35" s="398" t="str">
        <f t="shared" si="7"/>
        <v/>
      </c>
      <c r="G35" s="398" t="str">
        <f t="shared" si="7"/>
        <v/>
      </c>
      <c r="H35" s="398" t="str">
        <f t="shared" si="7"/>
        <v/>
      </c>
      <c r="I35" s="398" t="str">
        <f t="shared" si="7"/>
        <v/>
      </c>
      <c r="J35" s="398" t="str">
        <f t="shared" si="7"/>
        <v/>
      </c>
      <c r="K35" s="398" t="str">
        <f t="shared" si="7"/>
        <v/>
      </c>
      <c r="L35" s="398" t="str">
        <f t="shared" si="7"/>
        <v/>
      </c>
      <c r="M35" s="399" t="s">
        <v>659</v>
      </c>
      <c r="N35" s="400" t="str">
        <f>IF(C19&lt;&gt;"",MAX(C35:L35)-MIN(C35:L35),"")</f>
        <v/>
      </c>
      <c r="O35" s="401"/>
      <c r="P35" s="133" t="s">
        <v>389</v>
      </c>
      <c r="Q35" s="288" t="str">
        <f>IF(C19&lt;&gt;"",$N$35*CHOOSE($H$15,0,U30,U31,U32,U33,U34,U35,U36,U37,U38),"")</f>
        <v/>
      </c>
      <c r="R35" s="113"/>
      <c r="S35" s="113"/>
      <c r="T35" s="369">
        <v>7</v>
      </c>
      <c r="U35" s="389">
        <v>0.35339999999999999</v>
      </c>
      <c r="V35" s="150"/>
      <c r="W35" s="5" t="s">
        <v>389</v>
      </c>
      <c r="X35" s="402" t="str">
        <f>IF(C19&lt;&gt;"",100*($Q$35/$Q$39),"")</f>
        <v/>
      </c>
      <c r="Y35" s="365"/>
    </row>
    <row r="36" spans="1:25" ht="18" customHeight="1">
      <c r="A36" s="403">
        <f>A33+2</f>
        <v>17</v>
      </c>
      <c r="B36" s="359" t="s">
        <v>660</v>
      </c>
      <c r="C36" s="359"/>
      <c r="D36" s="359"/>
      <c r="E36" s="359"/>
      <c r="F36" s="359"/>
      <c r="G36" s="359"/>
      <c r="H36" s="359"/>
      <c r="I36" s="359"/>
      <c r="J36" s="359"/>
      <c r="K36" s="359"/>
      <c r="L36" s="359"/>
      <c r="M36" s="404" t="s">
        <v>487</v>
      </c>
      <c r="N36" s="360" t="str">
        <f>IF(C19&lt;&gt;"",SUM(N23,N28,N33)/COUNT(C19,C24,C29),"")</f>
        <v/>
      </c>
      <c r="O36" s="354" t="s">
        <v>499</v>
      </c>
      <c r="P36" s="116"/>
      <c r="Q36" s="116"/>
      <c r="R36" s="116"/>
      <c r="S36" s="116"/>
      <c r="T36" s="369">
        <v>8</v>
      </c>
      <c r="U36" s="389">
        <v>0.33779999999999999</v>
      </c>
      <c r="V36" s="112"/>
      <c r="W36" s="113"/>
      <c r="X36" s="113"/>
      <c r="Y36" s="375"/>
    </row>
    <row r="37" spans="1:25" ht="18" customHeight="1">
      <c r="A37" s="405">
        <f>A36+1</f>
        <v>18</v>
      </c>
      <c r="B37" s="406" t="s">
        <v>661</v>
      </c>
      <c r="C37" s="225"/>
      <c r="D37" s="225"/>
      <c r="E37" s="225"/>
      <c r="F37" s="225"/>
      <c r="G37" s="225"/>
      <c r="H37" s="225"/>
      <c r="I37" s="225"/>
      <c r="J37" s="225"/>
      <c r="K37" s="225"/>
      <c r="L37" s="225"/>
      <c r="M37" s="407" t="s">
        <v>662</v>
      </c>
      <c r="N37" s="408" t="str">
        <f>IF(C19&lt;&gt;"",MAX(N22,N27,N32)-MIN(N22,N27,N32),"")</f>
        <v/>
      </c>
      <c r="O37" s="361" t="s">
        <v>500</v>
      </c>
      <c r="P37" s="5" t="s">
        <v>389</v>
      </c>
      <c r="Q37" s="4" t="s">
        <v>501</v>
      </c>
      <c r="R37" s="4"/>
      <c r="S37" s="4"/>
      <c r="T37" s="369">
        <v>9</v>
      </c>
      <c r="U37" s="389">
        <v>0.32469999999999999</v>
      </c>
      <c r="V37" s="150" t="s">
        <v>490</v>
      </c>
      <c r="W37" s="5" t="s">
        <v>389</v>
      </c>
      <c r="X37" s="4" t="s">
        <v>491</v>
      </c>
      <c r="Y37" s="365"/>
    </row>
    <row r="38" spans="1:25" ht="18" customHeight="1">
      <c r="A38" s="405">
        <f>A37+1</f>
        <v>19</v>
      </c>
      <c r="B38" s="175" t="s">
        <v>664</v>
      </c>
      <c r="C38" s="225"/>
      <c r="D38" s="225"/>
      <c r="E38" s="409" t="str">
        <f>IF(C19="","",IF(OR(G38&lt;&gt;"",H38&lt;&gt;"",I38&lt;&gt;""),"APPRAISER",""))</f>
        <v/>
      </c>
      <c r="F38" s="410"/>
      <c r="G38" s="411" t="str">
        <f>IF(C19="","",IF(OR(AND($C23&lt;&gt;"",$C23&gt;$N$38),AND($D23&lt;&gt;"",$D23&gt;$N$38),AND($E23&lt;&gt;"",$E23&gt;$N$38),AND($F23&lt;&gt;"",$F23&gt;$N$38),AND($G23&lt;&gt;"",$G23&gt;$N$38),AND($H23&lt;&gt;"",$H23&gt;$N$38),AND($I23&lt;&gt;"",$I23&gt;$N$38),AND($J23&lt;&gt;"",$J23&gt;$N$38),AND($K23&lt;&gt;"",$K23&gt;$N$38),AND($L23&lt;&gt;"",$L23&gt;$N$38)),"A",""))</f>
        <v/>
      </c>
      <c r="H38" s="411" t="str">
        <f>IF(C19="","",IF(OR(AND($C28&lt;&gt;"",$C28&gt;$N$38),AND($D28&lt;&gt;"",$D28&gt;$N$38),AND($E28&lt;&gt;"",$E28&gt;$N$38),AND($F28&lt;&gt;"",$F28&gt;$N$38),AND($G28&lt;&gt;"",$G28&gt;$N$38),AND($H28&lt;&gt;"",$H28&gt;$N$38),AND($I28&lt;&gt;"",$I28&gt;$N$38),AND($J28&lt;&gt;"",$J28&gt;$N$38),AND($K28&lt;&gt;"",$K28&gt;$N$38),AND($L28&lt;&gt;"",$L28&gt;$N$38)),"B",""))</f>
        <v/>
      </c>
      <c r="I38" s="411" t="str">
        <f>IF(C19="","",IF(OR(AND($C33&lt;&gt;"",$C33&gt;$N$38),AND($D33&lt;&gt;"",$D33&gt;$N$38),AND($E33&lt;&gt;"",$E33&gt;$N$38),AND($F33&lt;&gt;"",$F33&gt;$N$38),AND($G33&lt;&gt;"",$G33&gt;$N$38),AND($H33&lt;&gt;"",$H33&gt;$N$38),AND($I33&lt;&gt;"",$I33&gt;$N$38),AND($J33&lt;&gt;"",$J33&gt;$N$38),AND($K33&lt;&gt;"",$K33&gt;$N$38),AND($L33&lt;&gt;"",$L33&gt;$N$38)),"C",""))</f>
        <v/>
      </c>
      <c r="J38" s="410" t="str">
        <f>IF(C19="","",IF(OR(G38&lt;&gt;"",H38&lt;&gt;"",I38&lt;&gt;""),"OUT OF CONTROL",""))</f>
        <v/>
      </c>
      <c r="K38" s="225"/>
      <c r="L38" s="225"/>
      <c r="M38" s="412" t="s">
        <v>665</v>
      </c>
      <c r="N38" s="408" t="str">
        <f>IF(C19&lt;&gt;"",IF(F15=3,2.58*N36,3.27*N36),"")</f>
        <v/>
      </c>
      <c r="O38" s="361"/>
      <c r="P38" s="413" t="s">
        <v>389</v>
      </c>
      <c r="Q38" s="385" t="str">
        <f>CONCATENATE("( ",E13," - ",D13," ) / 6")</f>
        <v>( Upper - Lower ) / 6</v>
      </c>
      <c r="R38" s="4"/>
      <c r="S38" s="4"/>
      <c r="T38" s="373">
        <v>10</v>
      </c>
      <c r="U38" s="414">
        <v>0.3145</v>
      </c>
      <c r="V38" s="109"/>
      <c r="W38" s="413" t="s">
        <v>389</v>
      </c>
      <c r="X38" s="284" t="str">
        <f>IF(C19&lt;&gt;"",CONCATENATE("1.41(",TEXT($Q$35,"0.000"),"/",TEXT($Q$31,"0.000"),")"),"")</f>
        <v/>
      </c>
      <c r="Y38" s="365"/>
    </row>
    <row r="39" spans="1:25" ht="18" customHeight="1">
      <c r="A39" s="415"/>
      <c r="B39" s="116"/>
      <c r="C39" s="116"/>
      <c r="D39" s="116"/>
      <c r="E39" s="116"/>
      <c r="F39" s="116"/>
      <c r="G39" s="116"/>
      <c r="H39" s="116"/>
      <c r="I39" s="116"/>
      <c r="J39" s="116"/>
      <c r="K39" s="116"/>
      <c r="L39" s="116"/>
      <c r="M39" s="116"/>
      <c r="N39" s="355"/>
      <c r="O39" s="361"/>
      <c r="P39" s="413" t="s">
        <v>389</v>
      </c>
      <c r="Q39" s="288" t="str">
        <f>IF(C19&lt;&gt;"",(E13-D13)/6,"")</f>
        <v/>
      </c>
      <c r="R39" s="4"/>
      <c r="S39" s="4"/>
      <c r="T39" s="4"/>
      <c r="U39" s="117"/>
      <c r="V39" s="4"/>
      <c r="W39" s="413" t="s">
        <v>389</v>
      </c>
      <c r="X39" s="416" t="str">
        <f>IF(C19&lt;&gt;"",TRUNC(1.41*($Q$35/$Q$31)),"")</f>
        <v/>
      </c>
      <c r="Y39" s="365"/>
    </row>
    <row r="40" spans="1:25" ht="18" customHeight="1">
      <c r="A40" s="417" t="s">
        <v>666</v>
      </c>
      <c r="B40" s="4"/>
      <c r="C40" s="4"/>
      <c r="D40" s="4"/>
      <c r="E40" s="4"/>
      <c r="F40" s="4"/>
      <c r="G40" s="4"/>
      <c r="H40" s="4"/>
      <c r="I40" s="4"/>
      <c r="J40" s="4"/>
      <c r="K40" s="4"/>
      <c r="L40" s="4"/>
      <c r="M40" s="4"/>
      <c r="N40" s="365"/>
      <c r="O40" s="401"/>
      <c r="P40" s="418"/>
      <c r="Q40" s="287"/>
      <c r="R40" s="113"/>
      <c r="S40" s="113"/>
      <c r="T40" s="113"/>
      <c r="U40" s="114"/>
      <c r="V40" s="1054" t="str">
        <f>IF(X39&lt;&gt;"",IF(X39&lt;5,"Gage discrimination low","Gage discrimination acceptable"),"")</f>
        <v/>
      </c>
      <c r="W40" s="1055"/>
      <c r="X40" s="1055"/>
      <c r="Y40" s="1056"/>
    </row>
    <row r="41" spans="1:25">
      <c r="A41" s="417" t="s">
        <v>492</v>
      </c>
      <c r="B41" s="4"/>
      <c r="C41" s="4"/>
      <c r="D41" s="4"/>
      <c r="E41" s="4"/>
      <c r="F41" s="4"/>
      <c r="G41" s="4"/>
      <c r="H41" s="4"/>
      <c r="I41" s="4"/>
      <c r="J41" s="4"/>
      <c r="K41" s="4"/>
      <c r="L41" s="4"/>
      <c r="M41" s="4"/>
      <c r="N41" s="365"/>
      <c r="O41" s="417"/>
      <c r="P41" s="4"/>
      <c r="Q41" s="4"/>
      <c r="R41" s="4"/>
      <c r="S41" s="4"/>
      <c r="T41" s="4"/>
      <c r="U41" s="4"/>
      <c r="V41" s="4"/>
      <c r="W41" s="4"/>
      <c r="X41" s="4"/>
      <c r="Y41" s="365"/>
    </row>
    <row r="42" spans="1:25">
      <c r="A42" s="417" t="s">
        <v>667</v>
      </c>
      <c r="B42" s="4"/>
      <c r="C42" s="4"/>
      <c r="D42" s="4"/>
      <c r="E42" s="4"/>
      <c r="F42" s="4"/>
      <c r="G42" s="4"/>
      <c r="H42" s="4"/>
      <c r="I42" s="4"/>
      <c r="J42" s="4"/>
      <c r="K42" s="4"/>
      <c r="L42" s="4"/>
      <c r="M42" s="4"/>
      <c r="N42" s="365"/>
      <c r="O42" s="2" t="s">
        <v>668</v>
      </c>
      <c r="P42" s="4"/>
      <c r="Q42" s="4"/>
      <c r="R42" s="4"/>
      <c r="S42" s="4"/>
      <c r="T42" s="4"/>
      <c r="U42" s="4"/>
      <c r="V42" s="4"/>
      <c r="W42" s="4"/>
      <c r="X42" s="4"/>
      <c r="Y42" s="365"/>
    </row>
    <row r="43" spans="1:25" ht="13.5" thickBot="1">
      <c r="A43" s="2"/>
      <c r="B43" s="4"/>
      <c r="C43" s="4"/>
      <c r="D43" s="4"/>
      <c r="E43" s="4"/>
      <c r="F43" s="4"/>
      <c r="G43" s="4"/>
      <c r="H43" s="4"/>
      <c r="I43" s="4"/>
      <c r="J43" s="4"/>
      <c r="K43" s="4"/>
      <c r="L43" s="4"/>
      <c r="M43" s="4"/>
      <c r="N43" s="365"/>
      <c r="O43" s="419"/>
      <c r="P43" s="420"/>
      <c r="Q43" s="194"/>
      <c r="R43" s="194"/>
      <c r="S43" s="194"/>
      <c r="T43" s="194"/>
      <c r="U43" s="194"/>
      <c r="V43" s="194"/>
      <c r="W43" s="194"/>
      <c r="X43" s="194"/>
      <c r="Y43" s="353"/>
    </row>
    <row r="44" spans="1:25">
      <c r="A44" s="417" t="s">
        <v>493</v>
      </c>
      <c r="B44" s="113"/>
      <c r="C44" s="113"/>
      <c r="D44" s="113"/>
      <c r="E44" s="113"/>
      <c r="F44" s="113"/>
      <c r="G44" s="113"/>
      <c r="H44" s="113"/>
      <c r="I44" s="113"/>
      <c r="J44" s="113"/>
      <c r="K44" s="113"/>
      <c r="L44" s="113"/>
      <c r="M44" s="113"/>
      <c r="N44" s="375"/>
      <c r="O44" s="160"/>
    </row>
    <row r="45" spans="1:25">
      <c r="A45" s="417"/>
      <c r="B45" s="113"/>
      <c r="C45" s="113"/>
      <c r="D45" s="113"/>
      <c r="E45" s="113"/>
      <c r="F45" s="113"/>
      <c r="G45" s="113"/>
      <c r="H45" s="113"/>
      <c r="I45" s="113"/>
      <c r="J45" s="113"/>
      <c r="K45" s="113"/>
      <c r="L45" s="113"/>
      <c r="M45" s="113"/>
      <c r="N45" s="375"/>
      <c r="O45" s="160"/>
    </row>
    <row r="46" spans="1:25" ht="13.5" thickBot="1">
      <c r="A46" s="419"/>
      <c r="B46" s="194"/>
      <c r="C46" s="194"/>
      <c r="D46" s="194"/>
      <c r="E46" s="194"/>
      <c r="F46" s="194"/>
      <c r="G46" s="194"/>
      <c r="H46" s="194"/>
      <c r="I46" s="194"/>
      <c r="J46" s="194"/>
      <c r="K46" s="194"/>
      <c r="L46" s="194"/>
      <c r="M46" s="194"/>
      <c r="N46" s="353"/>
      <c r="O46" s="160"/>
    </row>
  </sheetData>
  <mergeCells count="3">
    <mergeCell ref="V40:Y40"/>
    <mergeCell ref="A1:Y4"/>
    <mergeCell ref="A9:C9"/>
  </mergeCells>
  <phoneticPr fontId="26" type="noConversion"/>
  <printOptions horizontalCentered="1" verticalCentered="1"/>
  <pageMargins left="0.25" right="0.25" top="0.41" bottom="0.8125" header="0.17" footer="0.16"/>
  <pageSetup scale="72" fitToHeight="27" orientation="landscape" r:id="rId1"/>
  <headerFooter alignWithMargins="0">
    <oddFooter xml:space="preserve">&amp;L&amp;6&amp;Z&amp;F&amp;CQAI_6012 AAR Mobility PPAP Workbook
</oddFooter>
  </headerFooter>
  <colBreaks count="1" manualBreakCount="1">
    <brk id="14" max="1048575" man="1"/>
  </col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13"/>
    <pageSetUpPr fitToPage="1"/>
  </sheetPr>
  <dimension ref="A1:AK64"/>
  <sheetViews>
    <sheetView zoomScaleNormal="100" workbookViewId="0">
      <selection activeCell="O21" sqref="O21"/>
    </sheetView>
  </sheetViews>
  <sheetFormatPr defaultColWidth="9.140625" defaultRowHeight="12.75"/>
  <cols>
    <col min="1" max="1" width="7.5703125" style="1" customWidth="1"/>
    <col min="2" max="2" width="4.85546875" style="1" customWidth="1"/>
    <col min="3" max="12" width="6.28515625" style="1" customWidth="1"/>
    <col min="13" max="13" width="5.28515625" style="1" customWidth="1"/>
    <col min="14" max="14" width="12.42578125" style="1" bestFit="1" customWidth="1"/>
    <col min="15" max="16" width="9.140625" style="1"/>
    <col min="17" max="17" width="9.85546875" style="1" bestFit="1" customWidth="1"/>
    <col min="18" max="18" width="9.28515625" style="1" bestFit="1" customWidth="1"/>
    <col min="19" max="21" width="9.85546875" style="1" bestFit="1" customWidth="1"/>
    <col min="22" max="22" width="9.140625" style="1"/>
    <col min="23" max="24" width="9.28515625" style="1" bestFit="1" customWidth="1"/>
    <col min="25" max="25" width="9.85546875" style="1" bestFit="1" customWidth="1"/>
    <col min="26" max="27" width="9.140625" style="1"/>
    <col min="28" max="29" width="9.28515625" style="1" bestFit="1" customWidth="1"/>
    <col min="30" max="16384" width="9.140625" style="1"/>
  </cols>
  <sheetData>
    <row r="1" spans="1:16">
      <c r="A1" s="700"/>
      <c r="B1" s="701"/>
      <c r="C1" s="701"/>
      <c r="D1" s="701"/>
      <c r="E1" s="701"/>
      <c r="F1" s="701"/>
      <c r="G1" s="701"/>
      <c r="H1" s="701"/>
      <c r="I1" s="701"/>
      <c r="J1" s="701"/>
      <c r="K1" s="701"/>
      <c r="L1" s="701"/>
      <c r="M1" s="701"/>
      <c r="N1" s="886"/>
    </row>
    <row r="2" spans="1:16">
      <c r="A2" s="702"/>
      <c r="B2" s="703"/>
      <c r="C2" s="703"/>
      <c r="D2" s="703"/>
      <c r="E2" s="703"/>
      <c r="F2" s="703"/>
      <c r="G2" s="703"/>
      <c r="H2" s="703"/>
      <c r="I2" s="703"/>
      <c r="J2" s="703"/>
      <c r="K2" s="703"/>
      <c r="L2" s="703"/>
      <c r="M2" s="703"/>
      <c r="N2" s="887"/>
    </row>
    <row r="3" spans="1:16">
      <c r="A3" s="702"/>
      <c r="B3" s="703"/>
      <c r="C3" s="703"/>
      <c r="D3" s="703"/>
      <c r="E3" s="703"/>
      <c r="F3" s="703"/>
      <c r="G3" s="703"/>
      <c r="H3" s="703"/>
      <c r="I3" s="703"/>
      <c r="J3" s="703"/>
      <c r="K3" s="703"/>
      <c r="L3" s="703"/>
      <c r="M3" s="703"/>
      <c r="N3" s="887"/>
    </row>
    <row r="4" spans="1:16" ht="22.5" customHeight="1" thickBot="1">
      <c r="A4" s="704"/>
      <c r="B4" s="705"/>
      <c r="C4" s="705"/>
      <c r="D4" s="705"/>
      <c r="E4" s="705"/>
      <c r="F4" s="705"/>
      <c r="G4" s="705"/>
      <c r="H4" s="705"/>
      <c r="I4" s="705"/>
      <c r="J4" s="705"/>
      <c r="K4" s="705"/>
      <c r="L4" s="705"/>
      <c r="M4" s="705"/>
      <c r="N4" s="888"/>
    </row>
    <row r="5" spans="1:16" ht="18">
      <c r="A5" s="328" t="s">
        <v>449</v>
      </c>
      <c r="B5" s="134"/>
      <c r="C5" s="134"/>
      <c r="D5" s="134"/>
      <c r="E5" s="134"/>
      <c r="F5" s="134"/>
      <c r="G5" s="134"/>
      <c r="H5" s="134"/>
      <c r="I5" s="134"/>
      <c r="J5" s="134"/>
      <c r="K5" s="134"/>
      <c r="L5" s="134"/>
      <c r="M5" s="134"/>
      <c r="N5" s="134"/>
    </row>
    <row r="6" spans="1:16" ht="18">
      <c r="A6" s="328" t="s">
        <v>502</v>
      </c>
      <c r="B6" s="134"/>
      <c r="C6" s="134"/>
      <c r="D6" s="134"/>
      <c r="E6" s="134"/>
      <c r="F6" s="134"/>
      <c r="G6" s="134"/>
      <c r="H6" s="134"/>
      <c r="I6" s="134"/>
      <c r="J6" s="134"/>
      <c r="K6" s="134"/>
      <c r="L6" s="134"/>
      <c r="M6" s="134"/>
      <c r="N6" s="134"/>
    </row>
    <row r="8" spans="1:16" s="160" customFormat="1" ht="11.25">
      <c r="A8" s="161" t="s">
        <v>95</v>
      </c>
      <c r="B8" s="162"/>
      <c r="C8" s="162"/>
      <c r="D8" s="162"/>
      <c r="E8" s="163"/>
      <c r="F8" s="161" t="s">
        <v>371</v>
      </c>
      <c r="G8" s="162"/>
      <c r="H8" s="162"/>
      <c r="I8" s="163"/>
      <c r="J8" s="161" t="s">
        <v>412</v>
      </c>
      <c r="K8" s="162"/>
      <c r="L8" s="162"/>
      <c r="M8" s="162"/>
      <c r="N8" s="163"/>
    </row>
    <row r="9" spans="1:16">
      <c r="A9" s="837" t="s">
        <v>869</v>
      </c>
      <c r="B9" s="838"/>
      <c r="C9" s="838"/>
      <c r="D9" s="113"/>
      <c r="E9" s="114"/>
      <c r="F9" s="170"/>
      <c r="G9" s="253"/>
      <c r="H9" s="253"/>
      <c r="I9" s="254"/>
      <c r="J9" s="170"/>
      <c r="K9" s="253"/>
      <c r="L9" s="253"/>
      <c r="M9" s="253"/>
      <c r="N9" s="254"/>
    </row>
    <row r="10" spans="1:16" s="160" customFormat="1" ht="11.25">
      <c r="A10" s="161" t="s">
        <v>93</v>
      </c>
      <c r="B10" s="162"/>
      <c r="C10" s="162"/>
      <c r="D10" s="162"/>
      <c r="E10" s="163"/>
      <c r="F10" s="161" t="s">
        <v>373</v>
      </c>
      <c r="G10" s="162"/>
      <c r="H10" s="162"/>
      <c r="I10" s="163"/>
      <c r="J10" s="161" t="s">
        <v>413</v>
      </c>
      <c r="K10" s="162"/>
      <c r="L10" s="162"/>
      <c r="M10" s="162"/>
      <c r="N10" s="163"/>
    </row>
    <row r="11" spans="1:16">
      <c r="A11" s="112" t="s">
        <v>869</v>
      </c>
      <c r="B11" s="113"/>
      <c r="C11" s="113"/>
      <c r="D11" s="113"/>
      <c r="E11" s="114"/>
      <c r="F11" s="170"/>
      <c r="G11" s="253"/>
      <c r="H11" s="253"/>
      <c r="I11" s="254"/>
      <c r="J11" s="170"/>
      <c r="K11" s="253"/>
      <c r="L11" s="253"/>
      <c r="M11" s="253"/>
      <c r="N11" s="254"/>
    </row>
    <row r="12" spans="1:16" s="160" customFormat="1" ht="11.25">
      <c r="A12" s="161" t="s">
        <v>375</v>
      </c>
      <c r="B12" s="162"/>
      <c r="C12" s="162"/>
      <c r="D12" s="329" t="s">
        <v>451</v>
      </c>
      <c r="E12" s="330"/>
      <c r="F12" s="161" t="s">
        <v>376</v>
      </c>
      <c r="G12" s="162"/>
      <c r="H12" s="162"/>
      <c r="I12" s="163"/>
      <c r="J12" s="161" t="s">
        <v>416</v>
      </c>
      <c r="K12" s="162"/>
      <c r="L12" s="162"/>
      <c r="M12" s="162"/>
      <c r="N12" s="163"/>
    </row>
    <row r="13" spans="1:16">
      <c r="A13" s="170"/>
      <c r="B13" s="253"/>
      <c r="C13" s="253"/>
      <c r="D13" s="299" t="s">
        <v>452</v>
      </c>
      <c r="E13" s="300" t="s">
        <v>453</v>
      </c>
      <c r="F13" s="170"/>
      <c r="G13" s="253"/>
      <c r="H13" s="253"/>
      <c r="I13" s="254"/>
      <c r="J13" s="170"/>
      <c r="K13" s="253"/>
      <c r="L13" s="253"/>
      <c r="M13" s="253"/>
      <c r="N13" s="254"/>
    </row>
    <row r="14" spans="1:16">
      <c r="A14" s="161" t="s">
        <v>454</v>
      </c>
      <c r="B14" s="162"/>
      <c r="C14" s="162"/>
      <c r="D14" s="162"/>
      <c r="E14" s="163"/>
      <c r="F14" s="161" t="s">
        <v>455</v>
      </c>
      <c r="G14" s="163"/>
      <c r="H14" s="161" t="s">
        <v>456</v>
      </c>
      <c r="I14" s="163"/>
      <c r="J14" s="161" t="s">
        <v>457</v>
      </c>
      <c r="K14" s="163"/>
      <c r="L14" s="161" t="s">
        <v>374</v>
      </c>
      <c r="M14" s="162"/>
      <c r="N14" s="163"/>
      <c r="P14" s="421"/>
    </row>
    <row r="15" spans="1:16">
      <c r="A15" s="170"/>
      <c r="B15" s="253"/>
      <c r="C15" s="253"/>
      <c r="D15" s="253"/>
      <c r="E15" s="254"/>
      <c r="F15" s="331" t="str">
        <f>IF(C19&lt;&gt;"",COUNT(C19:C21),"")</f>
        <v/>
      </c>
      <c r="G15" s="332"/>
      <c r="H15" s="331" t="str">
        <f>IF(C19&lt;&gt;"",COUNT(C19:L19),"")</f>
        <v/>
      </c>
      <c r="I15" s="332"/>
      <c r="J15" s="331" t="str">
        <f>IF(C19&lt;&gt;"",COUNT(C19,C24,C29),"")</f>
        <v/>
      </c>
      <c r="K15" s="333"/>
      <c r="L15" s="170"/>
      <c r="M15" s="253"/>
      <c r="N15" s="254"/>
      <c r="P15" s="421"/>
    </row>
    <row r="16" spans="1:16" ht="13.5" thickBot="1">
      <c r="A16" s="4"/>
      <c r="B16" s="4"/>
      <c r="C16" s="4"/>
      <c r="D16" s="335"/>
      <c r="E16" s="335" t="str">
        <f>IF(D13&gt;E13,"ENTER LOWER TOLERANCE IN D9","")</f>
        <v/>
      </c>
      <c r="F16" s="4" t="str">
        <f>IF(C19&lt;&gt;"",IF(F15*H15*J15&lt;90,"DERIVED RESULTS MAY NOT BE STATISTICALLY SOUND",""),"")</f>
        <v/>
      </c>
      <c r="G16" s="5"/>
      <c r="H16" s="4"/>
      <c r="I16" s="5"/>
      <c r="J16" s="4"/>
      <c r="K16" s="5"/>
      <c r="L16" s="4"/>
      <c r="M16" s="4"/>
      <c r="N16" s="4"/>
      <c r="P16" s="421"/>
    </row>
    <row r="17" spans="1:37">
      <c r="A17" s="336" t="s">
        <v>458</v>
      </c>
      <c r="B17" s="199"/>
      <c r="C17" s="337" t="s">
        <v>307</v>
      </c>
      <c r="D17" s="338"/>
      <c r="E17" s="338"/>
      <c r="F17" s="338"/>
      <c r="G17" s="338"/>
      <c r="H17" s="338"/>
      <c r="I17" s="338"/>
      <c r="J17" s="338"/>
      <c r="K17" s="338"/>
      <c r="L17" s="339"/>
      <c r="M17" s="340" t="s">
        <v>459</v>
      </c>
      <c r="N17" s="341"/>
    </row>
    <row r="18" spans="1:37" ht="15.75" customHeight="1" thickBot="1">
      <c r="A18" s="350" t="s">
        <v>461</v>
      </c>
      <c r="B18" s="351"/>
      <c r="C18" s="352">
        <v>1</v>
      </c>
      <c r="D18" s="352">
        <v>2</v>
      </c>
      <c r="E18" s="352">
        <v>3</v>
      </c>
      <c r="F18" s="352">
        <v>4</v>
      </c>
      <c r="G18" s="352">
        <v>5</v>
      </c>
      <c r="H18" s="352">
        <v>6</v>
      </c>
      <c r="I18" s="352">
        <v>7</v>
      </c>
      <c r="J18" s="352">
        <v>8</v>
      </c>
      <c r="K18" s="352">
        <v>9</v>
      </c>
      <c r="L18" s="352">
        <v>10</v>
      </c>
      <c r="M18" s="108"/>
      <c r="N18" s="353"/>
      <c r="R18" s="1" t="s">
        <v>503</v>
      </c>
      <c r="S18" s="274" t="s">
        <v>504</v>
      </c>
      <c r="T18" s="274" t="s">
        <v>505</v>
      </c>
      <c r="U18" s="422" t="s">
        <v>506</v>
      </c>
      <c r="X18" s="1" t="s">
        <v>503</v>
      </c>
      <c r="Y18" s="422" t="s">
        <v>507</v>
      </c>
    </row>
    <row r="19" spans="1:37" ht="18" customHeight="1">
      <c r="A19" s="356" t="s">
        <v>463</v>
      </c>
      <c r="B19" s="357">
        <v>1</v>
      </c>
      <c r="C19" s="358"/>
      <c r="D19" s="358"/>
      <c r="E19" s="358"/>
      <c r="F19" s="358"/>
      <c r="G19" s="358"/>
      <c r="H19" s="358"/>
      <c r="I19" s="358"/>
      <c r="J19" s="358"/>
      <c r="K19" s="358"/>
      <c r="L19" s="358"/>
      <c r="M19" s="359"/>
      <c r="N19" s="360" t="str">
        <f t="shared" ref="N19:N33" si="0">IF(C19&lt;&gt;"",AVERAGE(C19:L19),"")</f>
        <v/>
      </c>
      <c r="P19" s="1" t="s">
        <v>669</v>
      </c>
      <c r="Q19" s="421">
        <f>SUM(C19:L21)</f>
        <v>0</v>
      </c>
      <c r="R19" s="1">
        <f>Q19*Q19</f>
        <v>0</v>
      </c>
      <c r="S19" s="1" t="e">
        <f>R19/$Q$23</f>
        <v>#VALUE!</v>
      </c>
      <c r="U19" s="110"/>
      <c r="V19" s="1" t="s">
        <v>670</v>
      </c>
      <c r="W19" s="423">
        <f>SUM(C19:C21)</f>
        <v>0</v>
      </c>
      <c r="X19" s="1">
        <f t="shared" ref="X19:X48" si="1">W19*W19</f>
        <v>0</v>
      </c>
      <c r="Y19" s="110" t="e">
        <f t="shared" ref="Y19:Y48" si="2">X19/$F$15</f>
        <v>#VALUE!</v>
      </c>
      <c r="AA19" s="1" t="s">
        <v>508</v>
      </c>
      <c r="AB19" s="1" t="s">
        <v>509</v>
      </c>
      <c r="AC19" s="1" t="s">
        <v>510</v>
      </c>
      <c r="AD19" s="1" t="s">
        <v>511</v>
      </c>
      <c r="AE19" s="1" t="s">
        <v>512</v>
      </c>
      <c r="AF19" s="1" t="s">
        <v>513</v>
      </c>
      <c r="AG19" s="1" t="s">
        <v>514</v>
      </c>
      <c r="AH19" s="1" t="s">
        <v>515</v>
      </c>
      <c r="AI19" s="1" t="s">
        <v>516</v>
      </c>
      <c r="AJ19" s="1" t="s">
        <v>517</v>
      </c>
      <c r="AK19" s="1" t="s">
        <v>518</v>
      </c>
    </row>
    <row r="20" spans="1:37" ht="18" customHeight="1">
      <c r="A20" s="366">
        <v>2</v>
      </c>
      <c r="B20" s="325">
        <v>2</v>
      </c>
      <c r="C20" s="367"/>
      <c r="D20" s="367"/>
      <c r="E20" s="367"/>
      <c r="F20" s="367"/>
      <c r="G20" s="367"/>
      <c r="H20" s="367"/>
      <c r="I20" s="367"/>
      <c r="J20" s="367"/>
      <c r="K20" s="367"/>
      <c r="L20" s="367"/>
      <c r="M20" s="113"/>
      <c r="N20" s="368" t="str">
        <f t="shared" si="0"/>
        <v/>
      </c>
      <c r="P20" s="1" t="s">
        <v>671</v>
      </c>
      <c r="Q20" s="421">
        <f>SUM(C24:L26)</f>
        <v>0</v>
      </c>
      <c r="R20" s="1">
        <f>Q20*Q20</f>
        <v>0</v>
      </c>
      <c r="S20" s="1" t="e">
        <f>R20/$Q$23</f>
        <v>#VALUE!</v>
      </c>
      <c r="U20" s="110"/>
      <c r="V20" s="1" t="s">
        <v>672</v>
      </c>
      <c r="W20" s="423">
        <f>SUM(D19:D21)</f>
        <v>0</v>
      </c>
      <c r="X20" s="1">
        <f t="shared" si="1"/>
        <v>0</v>
      </c>
      <c r="Y20" s="110" t="e">
        <f t="shared" si="2"/>
        <v>#VALUE!</v>
      </c>
      <c r="Z20" s="1" t="s">
        <v>519</v>
      </c>
      <c r="AA20" s="1" t="s">
        <v>520</v>
      </c>
      <c r="AB20" s="1">
        <f t="shared" ref="AB20:AK22" si="3">C19*C19</f>
        <v>0</v>
      </c>
      <c r="AC20" s="1">
        <f t="shared" si="3"/>
        <v>0</v>
      </c>
      <c r="AD20" s="1">
        <f t="shared" si="3"/>
        <v>0</v>
      </c>
      <c r="AE20" s="1">
        <f t="shared" si="3"/>
        <v>0</v>
      </c>
      <c r="AF20" s="1">
        <f t="shared" si="3"/>
        <v>0</v>
      </c>
      <c r="AG20" s="1">
        <f t="shared" si="3"/>
        <v>0</v>
      </c>
      <c r="AH20" s="1">
        <f t="shared" si="3"/>
        <v>0</v>
      </c>
      <c r="AI20" s="1">
        <f t="shared" si="3"/>
        <v>0</v>
      </c>
      <c r="AJ20" s="1">
        <f t="shared" si="3"/>
        <v>0</v>
      </c>
      <c r="AK20" s="1">
        <f t="shared" si="3"/>
        <v>0</v>
      </c>
    </row>
    <row r="21" spans="1:37" ht="18" customHeight="1">
      <c r="A21" s="371">
        <f>A20+1</f>
        <v>3</v>
      </c>
      <c r="B21" s="321">
        <v>3</v>
      </c>
      <c r="C21" s="367"/>
      <c r="D21" s="367"/>
      <c r="E21" s="367"/>
      <c r="F21" s="367"/>
      <c r="G21" s="367"/>
      <c r="H21" s="367"/>
      <c r="I21" s="367"/>
      <c r="J21" s="367"/>
      <c r="K21" s="367"/>
      <c r="L21" s="367"/>
      <c r="M21" s="113"/>
      <c r="N21" s="368" t="str">
        <f t="shared" si="0"/>
        <v/>
      </c>
      <c r="P21" s="1" t="s">
        <v>673</v>
      </c>
      <c r="Q21" s="421">
        <f>SUM(C29:L31)</f>
        <v>0</v>
      </c>
      <c r="R21" s="1">
        <f>Q21*Q21</f>
        <v>0</v>
      </c>
      <c r="S21" s="1" t="e">
        <f>R21/$Q$23</f>
        <v>#VALUE!</v>
      </c>
      <c r="U21" s="110"/>
      <c r="V21" s="1" t="s">
        <v>674</v>
      </c>
      <c r="W21" s="423">
        <f>SUM(E19:E21)</f>
        <v>0</v>
      </c>
      <c r="X21" s="1">
        <f t="shared" si="1"/>
        <v>0</v>
      </c>
      <c r="Y21" s="110" t="e">
        <f t="shared" si="2"/>
        <v>#VALUE!</v>
      </c>
      <c r="AA21" s="1" t="s">
        <v>521</v>
      </c>
      <c r="AB21" s="1">
        <f t="shared" si="3"/>
        <v>0</v>
      </c>
      <c r="AC21" s="1">
        <f t="shared" si="3"/>
        <v>0</v>
      </c>
      <c r="AD21" s="1">
        <f t="shared" si="3"/>
        <v>0</v>
      </c>
      <c r="AE21" s="1">
        <f t="shared" si="3"/>
        <v>0</v>
      </c>
      <c r="AF21" s="1">
        <f t="shared" si="3"/>
        <v>0</v>
      </c>
      <c r="AG21" s="1">
        <f t="shared" si="3"/>
        <v>0</v>
      </c>
      <c r="AH21" s="1">
        <f t="shared" si="3"/>
        <v>0</v>
      </c>
      <c r="AI21" s="1">
        <f t="shared" si="3"/>
        <v>0</v>
      </c>
      <c r="AJ21" s="1">
        <f t="shared" si="3"/>
        <v>0</v>
      </c>
      <c r="AK21" s="1">
        <f t="shared" si="3"/>
        <v>0</v>
      </c>
    </row>
    <row r="22" spans="1:37" ht="18" customHeight="1">
      <c r="A22" s="371">
        <f>A21+1</f>
        <v>4</v>
      </c>
      <c r="B22" s="321" t="s">
        <v>468</v>
      </c>
      <c r="C22" s="376" t="str">
        <f t="shared" ref="C22:L22" si="4">IF(C19&lt;&gt;"",SUM(C19:C21)/COUNT(C19:C21),"")</f>
        <v/>
      </c>
      <c r="D22" s="376" t="str">
        <f t="shared" si="4"/>
        <v/>
      </c>
      <c r="E22" s="376" t="str">
        <f t="shared" si="4"/>
        <v/>
      </c>
      <c r="F22" s="376" t="str">
        <f t="shared" si="4"/>
        <v/>
      </c>
      <c r="G22" s="376" t="str">
        <f t="shared" si="4"/>
        <v/>
      </c>
      <c r="H22" s="376" t="str">
        <f t="shared" si="4"/>
        <v/>
      </c>
      <c r="I22" s="376" t="str">
        <f t="shared" si="4"/>
        <v/>
      </c>
      <c r="J22" s="376" t="str">
        <f t="shared" si="4"/>
        <v/>
      </c>
      <c r="K22" s="376" t="str">
        <f t="shared" si="4"/>
        <v/>
      </c>
      <c r="L22" s="376" t="str">
        <f t="shared" si="4"/>
        <v/>
      </c>
      <c r="M22" s="377" t="s">
        <v>648</v>
      </c>
      <c r="N22" s="368" t="str">
        <f t="shared" si="0"/>
        <v/>
      </c>
      <c r="P22" s="1" t="s">
        <v>675</v>
      </c>
      <c r="Q22" s="421">
        <f>SUM(Q19:Q21)</f>
        <v>0</v>
      </c>
      <c r="R22" s="1">
        <f>Q22*Q22</f>
        <v>0</v>
      </c>
      <c r="T22" s="1" t="e">
        <f>R22/Q24</f>
        <v>#VALUE!</v>
      </c>
      <c r="U22" s="110"/>
      <c r="V22" s="1" t="s">
        <v>676</v>
      </c>
      <c r="W22" s="423">
        <f>SUM(F19:F21)</f>
        <v>0</v>
      </c>
      <c r="X22" s="1">
        <f t="shared" si="1"/>
        <v>0</v>
      </c>
      <c r="Y22" s="110" t="e">
        <f t="shared" si="2"/>
        <v>#VALUE!</v>
      </c>
      <c r="AA22" s="1" t="s">
        <v>522</v>
      </c>
      <c r="AB22" s="1">
        <f t="shared" si="3"/>
        <v>0</v>
      </c>
      <c r="AC22" s="1">
        <f t="shared" si="3"/>
        <v>0</v>
      </c>
      <c r="AD22" s="1">
        <f t="shared" si="3"/>
        <v>0</v>
      </c>
      <c r="AE22" s="1">
        <f t="shared" si="3"/>
        <v>0</v>
      </c>
      <c r="AF22" s="1">
        <f t="shared" si="3"/>
        <v>0</v>
      </c>
      <c r="AG22" s="1">
        <f t="shared" si="3"/>
        <v>0</v>
      </c>
      <c r="AH22" s="1">
        <f t="shared" si="3"/>
        <v>0</v>
      </c>
      <c r="AI22" s="1">
        <f t="shared" si="3"/>
        <v>0</v>
      </c>
      <c r="AJ22" s="1">
        <f t="shared" si="3"/>
        <v>0</v>
      </c>
      <c r="AK22" s="1">
        <f t="shared" si="3"/>
        <v>0</v>
      </c>
    </row>
    <row r="23" spans="1:37" ht="18" customHeight="1" thickBot="1">
      <c r="A23" s="378">
        <f>A22+1</f>
        <v>5</v>
      </c>
      <c r="B23" s="379" t="s">
        <v>160</v>
      </c>
      <c r="C23" s="380" t="str">
        <f t="shared" ref="C23:L23" si="5">IF(C19&lt;&gt;"",MAX(C19:C21)-MIN(C19:C21),"")</f>
        <v/>
      </c>
      <c r="D23" s="380" t="str">
        <f t="shared" si="5"/>
        <v/>
      </c>
      <c r="E23" s="380" t="str">
        <f t="shared" si="5"/>
        <v/>
      </c>
      <c r="F23" s="380" t="str">
        <f t="shared" si="5"/>
        <v/>
      </c>
      <c r="G23" s="380" t="str">
        <f t="shared" si="5"/>
        <v/>
      </c>
      <c r="H23" s="380" t="str">
        <f t="shared" si="5"/>
        <v/>
      </c>
      <c r="I23" s="380" t="str">
        <f t="shared" si="5"/>
        <v/>
      </c>
      <c r="J23" s="380" t="str">
        <f t="shared" si="5"/>
        <v/>
      </c>
      <c r="K23" s="380" t="str">
        <f t="shared" si="5"/>
        <v/>
      </c>
      <c r="L23" s="380" t="str">
        <f t="shared" si="5"/>
        <v/>
      </c>
      <c r="M23" s="381" t="s">
        <v>649</v>
      </c>
      <c r="N23" s="368" t="str">
        <f t="shared" si="0"/>
        <v/>
      </c>
      <c r="P23" s="1" t="s">
        <v>523</v>
      </c>
      <c r="Q23" s="1" t="e">
        <f>J15*H15</f>
        <v>#VALUE!</v>
      </c>
      <c r="U23" s="110"/>
      <c r="V23" s="1" t="s">
        <v>677</v>
      </c>
      <c r="W23" s="423">
        <f>SUM(G19:G21)</f>
        <v>0</v>
      </c>
      <c r="X23" s="1">
        <f t="shared" si="1"/>
        <v>0</v>
      </c>
      <c r="Y23" s="110" t="e">
        <f t="shared" si="2"/>
        <v>#VALUE!</v>
      </c>
      <c r="Z23" s="1" t="s">
        <v>524</v>
      </c>
      <c r="AA23" s="1" t="s">
        <v>520</v>
      </c>
      <c r="AB23" s="1">
        <f t="shared" ref="AB23:AK25" si="6">C24*C24</f>
        <v>0</v>
      </c>
      <c r="AC23" s="1">
        <f t="shared" si="6"/>
        <v>0</v>
      </c>
      <c r="AD23" s="1">
        <f t="shared" si="6"/>
        <v>0</v>
      </c>
      <c r="AE23" s="1">
        <f t="shared" si="6"/>
        <v>0</v>
      </c>
      <c r="AF23" s="1">
        <f t="shared" si="6"/>
        <v>0</v>
      </c>
      <c r="AG23" s="1">
        <f t="shared" si="6"/>
        <v>0</v>
      </c>
      <c r="AH23" s="1">
        <f t="shared" si="6"/>
        <v>0</v>
      </c>
      <c r="AI23" s="1">
        <f t="shared" si="6"/>
        <v>0</v>
      </c>
      <c r="AJ23" s="1">
        <f t="shared" si="6"/>
        <v>0</v>
      </c>
      <c r="AK23" s="1">
        <f t="shared" si="6"/>
        <v>0</v>
      </c>
    </row>
    <row r="24" spans="1:37" ht="18" customHeight="1">
      <c r="A24" s="356" t="s">
        <v>473</v>
      </c>
      <c r="B24" s="357">
        <v>1</v>
      </c>
      <c r="C24" s="358"/>
      <c r="D24" s="358"/>
      <c r="E24" s="358"/>
      <c r="F24" s="382"/>
      <c r="G24" s="382"/>
      <c r="H24" s="382"/>
      <c r="I24" s="382"/>
      <c r="J24" s="382"/>
      <c r="K24" s="382"/>
      <c r="L24" s="382"/>
      <c r="M24" s="359"/>
      <c r="N24" s="360" t="str">
        <f t="shared" si="0"/>
        <v/>
      </c>
      <c r="P24" s="1" t="s">
        <v>525</v>
      </c>
      <c r="Q24" s="1" t="e">
        <f>F15*H15*J15</f>
        <v>#VALUE!</v>
      </c>
      <c r="U24" s="110"/>
      <c r="V24" s="1" t="s">
        <v>678</v>
      </c>
      <c r="W24" s="423">
        <f>SUM(H19:H21)</f>
        <v>0</v>
      </c>
      <c r="X24" s="1">
        <f t="shared" si="1"/>
        <v>0</v>
      </c>
      <c r="Y24" s="110" t="e">
        <f t="shared" si="2"/>
        <v>#VALUE!</v>
      </c>
      <c r="AA24" s="1" t="s">
        <v>521</v>
      </c>
      <c r="AB24" s="1">
        <f t="shared" si="6"/>
        <v>0</v>
      </c>
      <c r="AC24" s="1">
        <f t="shared" si="6"/>
        <v>0</v>
      </c>
      <c r="AD24" s="1">
        <f t="shared" si="6"/>
        <v>0</v>
      </c>
      <c r="AE24" s="1">
        <f t="shared" si="6"/>
        <v>0</v>
      </c>
      <c r="AF24" s="1">
        <f t="shared" si="6"/>
        <v>0</v>
      </c>
      <c r="AG24" s="1">
        <f t="shared" si="6"/>
        <v>0</v>
      </c>
      <c r="AH24" s="1">
        <f t="shared" si="6"/>
        <v>0</v>
      </c>
      <c r="AI24" s="1">
        <f t="shared" si="6"/>
        <v>0</v>
      </c>
      <c r="AJ24" s="1">
        <f t="shared" si="6"/>
        <v>0</v>
      </c>
      <c r="AK24" s="1">
        <f t="shared" si="6"/>
        <v>0</v>
      </c>
    </row>
    <row r="25" spans="1:37" ht="18" customHeight="1">
      <c r="A25" s="371">
        <v>7</v>
      </c>
      <c r="B25" s="325">
        <v>2</v>
      </c>
      <c r="C25" s="367"/>
      <c r="D25" s="367"/>
      <c r="E25" s="367"/>
      <c r="F25" s="383"/>
      <c r="G25" s="383"/>
      <c r="H25" s="383"/>
      <c r="I25" s="383"/>
      <c r="J25" s="383"/>
      <c r="K25" s="383"/>
      <c r="L25" s="383"/>
      <c r="M25" s="113"/>
      <c r="N25" s="368" t="str">
        <f t="shared" si="0"/>
        <v/>
      </c>
      <c r="P25" s="1" t="s">
        <v>526</v>
      </c>
      <c r="Q25" s="1" t="e">
        <f>F15*J15</f>
        <v>#VALUE!</v>
      </c>
      <c r="U25" s="110"/>
      <c r="V25" s="1" t="s">
        <v>679</v>
      </c>
      <c r="W25" s="423">
        <f>SUM(I19:I21)</f>
        <v>0</v>
      </c>
      <c r="X25" s="1">
        <f t="shared" si="1"/>
        <v>0</v>
      </c>
      <c r="Y25" s="110" t="e">
        <f t="shared" si="2"/>
        <v>#VALUE!</v>
      </c>
      <c r="AA25" s="1" t="s">
        <v>522</v>
      </c>
      <c r="AB25" s="1">
        <f t="shared" si="6"/>
        <v>0</v>
      </c>
      <c r="AC25" s="1">
        <f t="shared" si="6"/>
        <v>0</v>
      </c>
      <c r="AD25" s="1">
        <f t="shared" si="6"/>
        <v>0</v>
      </c>
      <c r="AE25" s="1">
        <f t="shared" si="6"/>
        <v>0</v>
      </c>
      <c r="AF25" s="1">
        <f t="shared" si="6"/>
        <v>0</v>
      </c>
      <c r="AG25" s="1">
        <f t="shared" si="6"/>
        <v>0</v>
      </c>
      <c r="AH25" s="1">
        <f t="shared" si="6"/>
        <v>0</v>
      </c>
      <c r="AI25" s="1">
        <f t="shared" si="6"/>
        <v>0</v>
      </c>
      <c r="AJ25" s="1">
        <f t="shared" si="6"/>
        <v>0</v>
      </c>
      <c r="AK25" s="1">
        <f t="shared" si="6"/>
        <v>0</v>
      </c>
    </row>
    <row r="26" spans="1:37" ht="18" customHeight="1">
      <c r="A26" s="371">
        <f>A25+1</f>
        <v>8</v>
      </c>
      <c r="B26" s="321">
        <v>3</v>
      </c>
      <c r="C26" s="367"/>
      <c r="D26" s="367"/>
      <c r="E26" s="367"/>
      <c r="F26" s="383"/>
      <c r="G26" s="383"/>
      <c r="H26" s="383"/>
      <c r="I26" s="383"/>
      <c r="J26" s="383"/>
      <c r="K26" s="383"/>
      <c r="L26" s="383"/>
      <c r="M26" s="113"/>
      <c r="N26" s="368" t="str">
        <f t="shared" si="0"/>
        <v/>
      </c>
      <c r="P26" s="1" t="s">
        <v>680</v>
      </c>
      <c r="Q26" s="423">
        <f>SUM(C19:C21)+SUM(C24:C26)+SUM(C29:C31)</f>
        <v>0</v>
      </c>
      <c r="R26" s="1">
        <f t="shared" ref="R26:R35" si="7">Q26*Q26</f>
        <v>0</v>
      </c>
      <c r="U26" s="110" t="e">
        <f t="shared" ref="U26:U35" si="8">R26/$Q$25</f>
        <v>#VALUE!</v>
      </c>
      <c r="V26" s="1" t="s">
        <v>681</v>
      </c>
      <c r="W26" s="423">
        <f>SUM(J19:J21)</f>
        <v>0</v>
      </c>
      <c r="X26" s="1">
        <f t="shared" si="1"/>
        <v>0</v>
      </c>
      <c r="Y26" s="110" t="e">
        <f t="shared" si="2"/>
        <v>#VALUE!</v>
      </c>
      <c r="Z26" s="1" t="s">
        <v>527</v>
      </c>
      <c r="AA26" s="1" t="s">
        <v>520</v>
      </c>
      <c r="AB26" s="1">
        <f t="shared" ref="AB26:AK28" si="9">C29*C29</f>
        <v>0</v>
      </c>
      <c r="AC26" s="1">
        <f t="shared" si="9"/>
        <v>0</v>
      </c>
      <c r="AD26" s="1">
        <f t="shared" si="9"/>
        <v>0</v>
      </c>
      <c r="AE26" s="1">
        <f t="shared" si="9"/>
        <v>0</v>
      </c>
      <c r="AF26" s="1">
        <f t="shared" si="9"/>
        <v>0</v>
      </c>
      <c r="AG26" s="1">
        <f t="shared" si="9"/>
        <v>0</v>
      </c>
      <c r="AH26" s="1">
        <f t="shared" si="9"/>
        <v>0</v>
      </c>
      <c r="AI26" s="1">
        <f t="shared" si="9"/>
        <v>0</v>
      </c>
      <c r="AJ26" s="1">
        <f t="shared" si="9"/>
        <v>0</v>
      </c>
      <c r="AK26" s="1">
        <f t="shared" si="9"/>
        <v>0</v>
      </c>
    </row>
    <row r="27" spans="1:37" ht="18" customHeight="1">
      <c r="A27" s="371">
        <f>A26+1</f>
        <v>9</v>
      </c>
      <c r="B27" s="321" t="s">
        <v>468</v>
      </c>
      <c r="C27" s="376" t="str">
        <f t="shared" ref="C27:L27" si="10">IF(C24&lt;&gt;"",SUM(C24:C26)/COUNT(C24:C26),"")</f>
        <v/>
      </c>
      <c r="D27" s="376" t="str">
        <f t="shared" si="10"/>
        <v/>
      </c>
      <c r="E27" s="376" t="str">
        <f t="shared" si="10"/>
        <v/>
      </c>
      <c r="F27" s="376" t="str">
        <f t="shared" si="10"/>
        <v/>
      </c>
      <c r="G27" s="376" t="str">
        <f t="shared" si="10"/>
        <v/>
      </c>
      <c r="H27" s="376" t="str">
        <f t="shared" si="10"/>
        <v/>
      </c>
      <c r="I27" s="376" t="str">
        <f t="shared" si="10"/>
        <v/>
      </c>
      <c r="J27" s="376" t="str">
        <f t="shared" si="10"/>
        <v/>
      </c>
      <c r="K27" s="376" t="str">
        <f t="shared" si="10"/>
        <v/>
      </c>
      <c r="L27" s="376" t="str">
        <f t="shared" si="10"/>
        <v/>
      </c>
      <c r="M27" s="377" t="s">
        <v>651</v>
      </c>
      <c r="N27" s="368" t="str">
        <f t="shared" si="0"/>
        <v/>
      </c>
      <c r="P27" s="1" t="s">
        <v>682</v>
      </c>
      <c r="Q27" s="423">
        <f>SUM(D19:D21)+SUM(D24:D26)+SUM(D29:D31)</f>
        <v>0</v>
      </c>
      <c r="R27" s="1">
        <f t="shared" si="7"/>
        <v>0</v>
      </c>
      <c r="U27" s="110" t="e">
        <f t="shared" si="8"/>
        <v>#VALUE!</v>
      </c>
      <c r="V27" s="1" t="s">
        <v>683</v>
      </c>
      <c r="W27" s="423">
        <f>SUM(K19:K21)</f>
        <v>0</v>
      </c>
      <c r="X27" s="1">
        <f t="shared" si="1"/>
        <v>0</v>
      </c>
      <c r="Y27" s="110" t="e">
        <f t="shared" si="2"/>
        <v>#VALUE!</v>
      </c>
      <c r="AA27" s="1" t="s">
        <v>521</v>
      </c>
      <c r="AB27" s="1">
        <f t="shared" si="9"/>
        <v>0</v>
      </c>
      <c r="AC27" s="1">
        <f t="shared" si="9"/>
        <v>0</v>
      </c>
      <c r="AD27" s="1">
        <f t="shared" si="9"/>
        <v>0</v>
      </c>
      <c r="AE27" s="1">
        <f t="shared" si="9"/>
        <v>0</v>
      </c>
      <c r="AF27" s="1">
        <f t="shared" si="9"/>
        <v>0</v>
      </c>
      <c r="AG27" s="1">
        <f t="shared" si="9"/>
        <v>0</v>
      </c>
      <c r="AH27" s="1">
        <f t="shared" si="9"/>
        <v>0</v>
      </c>
      <c r="AI27" s="1">
        <f t="shared" si="9"/>
        <v>0</v>
      </c>
      <c r="AJ27" s="1">
        <f t="shared" si="9"/>
        <v>0</v>
      </c>
      <c r="AK27" s="1">
        <f t="shared" si="9"/>
        <v>0</v>
      </c>
    </row>
    <row r="28" spans="1:37" ht="18" customHeight="1" thickBot="1">
      <c r="A28" s="378">
        <f>A27+1</f>
        <v>10</v>
      </c>
      <c r="B28" s="379" t="s">
        <v>160</v>
      </c>
      <c r="C28" s="380" t="str">
        <f t="shared" ref="C28:L28" si="11">IF(C24&lt;&gt;"",MAX(C24:C26)-MIN(C24:C26),"")</f>
        <v/>
      </c>
      <c r="D28" s="380" t="str">
        <f t="shared" si="11"/>
        <v/>
      </c>
      <c r="E28" s="380" t="str">
        <f t="shared" si="11"/>
        <v/>
      </c>
      <c r="F28" s="380" t="str">
        <f t="shared" si="11"/>
        <v/>
      </c>
      <c r="G28" s="380" t="str">
        <f t="shared" si="11"/>
        <v/>
      </c>
      <c r="H28" s="380" t="str">
        <f t="shared" si="11"/>
        <v/>
      </c>
      <c r="I28" s="380" t="str">
        <f t="shared" si="11"/>
        <v/>
      </c>
      <c r="J28" s="380" t="str">
        <f t="shared" si="11"/>
        <v/>
      </c>
      <c r="K28" s="380" t="str">
        <f t="shared" si="11"/>
        <v/>
      </c>
      <c r="L28" s="380" t="str">
        <f t="shared" si="11"/>
        <v/>
      </c>
      <c r="M28" s="381" t="s">
        <v>653</v>
      </c>
      <c r="N28" s="368" t="str">
        <f t="shared" si="0"/>
        <v/>
      </c>
      <c r="P28" s="1" t="s">
        <v>684</v>
      </c>
      <c r="Q28" s="423">
        <f>SUM(E19:E21)+SUM(E24:E26)+SUM(E29:E31)</f>
        <v>0</v>
      </c>
      <c r="R28" s="1">
        <f t="shared" si="7"/>
        <v>0</v>
      </c>
      <c r="U28" s="110" t="e">
        <f t="shared" si="8"/>
        <v>#VALUE!</v>
      </c>
      <c r="V28" s="1" t="s">
        <v>685</v>
      </c>
      <c r="W28" s="423">
        <f>SUM(L19:L21)</f>
        <v>0</v>
      </c>
      <c r="X28" s="1">
        <f t="shared" si="1"/>
        <v>0</v>
      </c>
      <c r="Y28" s="110" t="e">
        <f t="shared" si="2"/>
        <v>#VALUE!</v>
      </c>
      <c r="AA28" s="1" t="s">
        <v>522</v>
      </c>
      <c r="AB28" s="1">
        <f t="shared" si="9"/>
        <v>0</v>
      </c>
      <c r="AC28" s="1">
        <f t="shared" si="9"/>
        <v>0</v>
      </c>
      <c r="AD28" s="1">
        <f t="shared" si="9"/>
        <v>0</v>
      </c>
      <c r="AE28" s="1">
        <f t="shared" si="9"/>
        <v>0</v>
      </c>
      <c r="AF28" s="1">
        <f t="shared" si="9"/>
        <v>0</v>
      </c>
      <c r="AG28" s="1">
        <f t="shared" si="9"/>
        <v>0</v>
      </c>
      <c r="AH28" s="1">
        <f t="shared" si="9"/>
        <v>0</v>
      </c>
      <c r="AI28" s="1">
        <f t="shared" si="9"/>
        <v>0</v>
      </c>
      <c r="AJ28" s="1">
        <f t="shared" si="9"/>
        <v>0</v>
      </c>
      <c r="AK28" s="1">
        <f t="shared" si="9"/>
        <v>0</v>
      </c>
    </row>
    <row r="29" spans="1:37" ht="18" customHeight="1">
      <c r="A29" s="356" t="s">
        <v>478</v>
      </c>
      <c r="B29" s="357">
        <v>1</v>
      </c>
      <c r="C29" s="358"/>
      <c r="D29" s="358"/>
      <c r="E29" s="358"/>
      <c r="F29" s="358"/>
      <c r="G29" s="358"/>
      <c r="H29" s="358"/>
      <c r="I29" s="358"/>
      <c r="J29" s="358"/>
      <c r="K29" s="358"/>
      <c r="L29" s="358"/>
      <c r="M29" s="359"/>
      <c r="N29" s="360" t="str">
        <f t="shared" si="0"/>
        <v/>
      </c>
      <c r="P29" s="1" t="s">
        <v>686</v>
      </c>
      <c r="Q29" s="423">
        <f>SUM(F19:F21)+SUM(F24:F26)+SUM(F29:F31)</f>
        <v>0</v>
      </c>
      <c r="R29" s="1">
        <f t="shared" si="7"/>
        <v>0</v>
      </c>
      <c r="U29" s="110" t="e">
        <f t="shared" si="8"/>
        <v>#VALUE!</v>
      </c>
      <c r="V29" s="1" t="s">
        <v>687</v>
      </c>
      <c r="W29" s="423">
        <f>SUM(C24:C26)</f>
        <v>0</v>
      </c>
      <c r="X29" s="1">
        <f t="shared" si="1"/>
        <v>0</v>
      </c>
      <c r="Y29" s="110" t="e">
        <f t="shared" si="2"/>
        <v>#VALUE!</v>
      </c>
    </row>
    <row r="30" spans="1:37" ht="18" customHeight="1">
      <c r="A30" s="371">
        <v>12</v>
      </c>
      <c r="B30" s="325">
        <v>2</v>
      </c>
      <c r="C30" s="367"/>
      <c r="D30" s="367"/>
      <c r="E30" s="367"/>
      <c r="F30" s="367"/>
      <c r="G30" s="367"/>
      <c r="H30" s="367"/>
      <c r="I30" s="367"/>
      <c r="J30" s="367"/>
      <c r="K30" s="367"/>
      <c r="L30" s="367"/>
      <c r="M30" s="113"/>
      <c r="N30" s="368" t="str">
        <f t="shared" si="0"/>
        <v/>
      </c>
      <c r="P30" s="1" t="s">
        <v>688</v>
      </c>
      <c r="Q30" s="423">
        <f>SUM(G19:G21)+SUM(G24:G26)+SUM(G29:G31)</f>
        <v>0</v>
      </c>
      <c r="R30" s="1">
        <f t="shared" si="7"/>
        <v>0</v>
      </c>
      <c r="U30" s="110" t="e">
        <f t="shared" si="8"/>
        <v>#VALUE!</v>
      </c>
      <c r="V30" s="1" t="s">
        <v>689</v>
      </c>
      <c r="W30" s="423">
        <f>SUM(D24:D26)</f>
        <v>0</v>
      </c>
      <c r="X30" s="1">
        <f t="shared" si="1"/>
        <v>0</v>
      </c>
      <c r="Y30" s="110" t="e">
        <f t="shared" si="2"/>
        <v>#VALUE!</v>
      </c>
    </row>
    <row r="31" spans="1:37" ht="18" customHeight="1">
      <c r="A31" s="371">
        <f>A30+1</f>
        <v>13</v>
      </c>
      <c r="B31" s="321">
        <v>3</v>
      </c>
      <c r="C31" s="367"/>
      <c r="D31" s="367"/>
      <c r="E31" s="367"/>
      <c r="F31" s="367"/>
      <c r="G31" s="367"/>
      <c r="H31" s="367"/>
      <c r="I31" s="367"/>
      <c r="J31" s="367"/>
      <c r="K31" s="367"/>
      <c r="L31" s="367"/>
      <c r="M31" s="113"/>
      <c r="N31" s="368" t="str">
        <f t="shared" si="0"/>
        <v/>
      </c>
      <c r="P31" s="1" t="s">
        <v>690</v>
      </c>
      <c r="Q31" s="423">
        <f>SUM(H19:H21)+SUM(H24:H26)+SUM(H29:H31)</f>
        <v>0</v>
      </c>
      <c r="R31" s="1">
        <f t="shared" si="7"/>
        <v>0</v>
      </c>
      <c r="U31" s="110" t="e">
        <f t="shared" si="8"/>
        <v>#VALUE!</v>
      </c>
      <c r="V31" s="1" t="s">
        <v>691</v>
      </c>
      <c r="W31" s="423">
        <f>SUM(E24:E26)</f>
        <v>0</v>
      </c>
      <c r="X31" s="1">
        <f t="shared" si="1"/>
        <v>0</v>
      </c>
      <c r="Y31" s="110" t="e">
        <f t="shared" si="2"/>
        <v>#VALUE!</v>
      </c>
    </row>
    <row r="32" spans="1:37" ht="18" customHeight="1">
      <c r="A32" s="371">
        <f>A31+1</f>
        <v>14</v>
      </c>
      <c r="B32" s="321" t="s">
        <v>468</v>
      </c>
      <c r="C32" s="376" t="str">
        <f t="shared" ref="C32:L32" si="12">IF(C29&lt;&gt;"",SUM(C29:C31)/COUNT(C29:C31),"")</f>
        <v/>
      </c>
      <c r="D32" s="376" t="str">
        <f t="shared" si="12"/>
        <v/>
      </c>
      <c r="E32" s="376" t="str">
        <f t="shared" si="12"/>
        <v/>
      </c>
      <c r="F32" s="376" t="str">
        <f t="shared" si="12"/>
        <v/>
      </c>
      <c r="G32" s="376" t="str">
        <f t="shared" si="12"/>
        <v/>
      </c>
      <c r="H32" s="376" t="str">
        <f t="shared" si="12"/>
        <v/>
      </c>
      <c r="I32" s="376" t="str">
        <f t="shared" si="12"/>
        <v/>
      </c>
      <c r="J32" s="376" t="str">
        <f t="shared" si="12"/>
        <v/>
      </c>
      <c r="K32" s="376" t="str">
        <f t="shared" si="12"/>
        <v/>
      </c>
      <c r="L32" s="376" t="str">
        <f t="shared" si="12"/>
        <v/>
      </c>
      <c r="M32" s="377" t="s">
        <v>656</v>
      </c>
      <c r="N32" s="368" t="str">
        <f t="shared" si="0"/>
        <v/>
      </c>
      <c r="P32" s="1" t="s">
        <v>692</v>
      </c>
      <c r="Q32" s="423">
        <f>SUM(I19:I21)+SUM(I24:I26)+SUM(I29:I31)</f>
        <v>0</v>
      </c>
      <c r="R32" s="1">
        <f t="shared" si="7"/>
        <v>0</v>
      </c>
      <c r="U32" s="110" t="e">
        <f t="shared" si="8"/>
        <v>#VALUE!</v>
      </c>
      <c r="V32" s="1" t="s">
        <v>693</v>
      </c>
      <c r="W32" s="423">
        <f>SUM(F24:F26)</f>
        <v>0</v>
      </c>
      <c r="X32" s="1">
        <f t="shared" si="1"/>
        <v>0</v>
      </c>
      <c r="Y32" s="110" t="e">
        <f t="shared" si="2"/>
        <v>#VALUE!</v>
      </c>
    </row>
    <row r="33" spans="1:25" ht="18" customHeight="1" thickBot="1">
      <c r="A33" s="378">
        <f>A32+1</f>
        <v>15</v>
      </c>
      <c r="B33" s="379" t="s">
        <v>160</v>
      </c>
      <c r="C33" s="380" t="str">
        <f t="shared" ref="C33:L33" si="13">IF(C29&lt;&gt;"",MAX(C29:C31)-MIN(C29:C31),"")</f>
        <v/>
      </c>
      <c r="D33" s="380" t="str">
        <f t="shared" si="13"/>
        <v/>
      </c>
      <c r="E33" s="380" t="str">
        <f t="shared" si="13"/>
        <v/>
      </c>
      <c r="F33" s="380" t="str">
        <f t="shared" si="13"/>
        <v/>
      </c>
      <c r="G33" s="380" t="str">
        <f t="shared" si="13"/>
        <v/>
      </c>
      <c r="H33" s="380" t="str">
        <f t="shared" si="13"/>
        <v/>
      </c>
      <c r="I33" s="380" t="str">
        <f t="shared" si="13"/>
        <v/>
      </c>
      <c r="J33" s="380" t="str">
        <f t="shared" si="13"/>
        <v/>
      </c>
      <c r="K33" s="380" t="str">
        <f t="shared" si="13"/>
        <v/>
      </c>
      <c r="L33" s="380" t="str">
        <f t="shared" si="13"/>
        <v/>
      </c>
      <c r="M33" s="381" t="s">
        <v>657</v>
      </c>
      <c r="N33" s="368" t="str">
        <f t="shared" si="0"/>
        <v/>
      </c>
      <c r="P33" s="1" t="s">
        <v>694</v>
      </c>
      <c r="Q33" s="423">
        <f>SUM(J19:J21)+SUM(J24:J26)+SUM(J29:J31)</f>
        <v>0</v>
      </c>
      <c r="R33" s="1">
        <f t="shared" si="7"/>
        <v>0</v>
      </c>
      <c r="U33" s="110" t="e">
        <f t="shared" si="8"/>
        <v>#VALUE!</v>
      </c>
      <c r="V33" s="1" t="s">
        <v>695</v>
      </c>
      <c r="W33" s="423">
        <f>SUM(G24:G26)</f>
        <v>0</v>
      </c>
      <c r="X33" s="1">
        <f t="shared" si="1"/>
        <v>0</v>
      </c>
      <c r="Y33" s="110" t="e">
        <f t="shared" si="2"/>
        <v>#VALUE!</v>
      </c>
    </row>
    <row r="34" spans="1:25" ht="18" customHeight="1">
      <c r="A34" s="393" t="s">
        <v>484</v>
      </c>
      <c r="B34" s="199"/>
      <c r="C34" s="394"/>
      <c r="D34" s="394"/>
      <c r="E34" s="394"/>
      <c r="F34" s="394"/>
      <c r="G34" s="394"/>
      <c r="H34" s="394"/>
      <c r="I34" s="394"/>
      <c r="J34" s="394"/>
      <c r="K34" s="394"/>
      <c r="L34" s="394"/>
      <c r="M34" s="395" t="s">
        <v>485</v>
      </c>
      <c r="N34" s="396" t="str">
        <f>IF(C19&lt;&gt;"",AVERAGE(C35:L35),"")</f>
        <v/>
      </c>
      <c r="P34" s="1" t="s">
        <v>696</v>
      </c>
      <c r="Q34" s="423">
        <f>SUM(K19:K21)+SUM(K24:K26)+SUM(K29:K31)</f>
        <v>0</v>
      </c>
      <c r="R34" s="1">
        <f t="shared" si="7"/>
        <v>0</v>
      </c>
      <c r="U34" s="110" t="e">
        <f t="shared" si="8"/>
        <v>#VALUE!</v>
      </c>
      <c r="V34" s="1" t="s">
        <v>697</v>
      </c>
      <c r="W34" s="423">
        <f>SUM(H24:H26)</f>
        <v>0</v>
      </c>
      <c r="X34" s="1">
        <f t="shared" si="1"/>
        <v>0</v>
      </c>
      <c r="Y34" s="110" t="e">
        <f t="shared" si="2"/>
        <v>#VALUE!</v>
      </c>
    </row>
    <row r="35" spans="1:25" ht="18" customHeight="1" thickBot="1">
      <c r="A35" s="397" t="s">
        <v>486</v>
      </c>
      <c r="B35" s="351"/>
      <c r="C35" s="398" t="str">
        <f t="shared" ref="C35:L35" si="14">IF(C22&lt;&gt;"",SUM(C22,C27,C32)/COUNT(C22,C27,C32),"")</f>
        <v/>
      </c>
      <c r="D35" s="398" t="str">
        <f t="shared" si="14"/>
        <v/>
      </c>
      <c r="E35" s="398" t="str">
        <f t="shared" si="14"/>
        <v/>
      </c>
      <c r="F35" s="398" t="str">
        <f t="shared" si="14"/>
        <v/>
      </c>
      <c r="G35" s="398" t="str">
        <f t="shared" si="14"/>
        <v/>
      </c>
      <c r="H35" s="398" t="str">
        <f t="shared" si="14"/>
        <v/>
      </c>
      <c r="I35" s="398" t="str">
        <f t="shared" si="14"/>
        <v/>
      </c>
      <c r="J35" s="398" t="str">
        <f t="shared" si="14"/>
        <v/>
      </c>
      <c r="K35" s="398" t="str">
        <f t="shared" si="14"/>
        <v/>
      </c>
      <c r="L35" s="398" t="str">
        <f t="shared" si="14"/>
        <v/>
      </c>
      <c r="M35" s="399" t="s">
        <v>659</v>
      </c>
      <c r="N35" s="400" t="str">
        <f>IF(C19&lt;&gt;"",MAX(C35:L35)-MIN(C35:L35),"")</f>
        <v/>
      </c>
      <c r="P35" s="1" t="s">
        <v>698</v>
      </c>
      <c r="Q35" s="423">
        <f>SUM(L19:L21)+SUM(L24:L26)+SUM(L29:L31)</f>
        <v>0</v>
      </c>
      <c r="R35" s="1">
        <f t="shared" si="7"/>
        <v>0</v>
      </c>
      <c r="U35" s="110" t="e">
        <f t="shared" si="8"/>
        <v>#VALUE!</v>
      </c>
      <c r="V35" s="1" t="s">
        <v>699</v>
      </c>
      <c r="W35" s="423">
        <f>SUM(I24:I26)</f>
        <v>0</v>
      </c>
      <c r="X35" s="1">
        <f t="shared" si="1"/>
        <v>0</v>
      </c>
      <c r="Y35" s="110" t="e">
        <f t="shared" si="2"/>
        <v>#VALUE!</v>
      </c>
    </row>
    <row r="36" spans="1:25" ht="15.75">
      <c r="V36" s="1" t="s">
        <v>700</v>
      </c>
      <c r="W36" s="423">
        <f>SUM(J24:J26)</f>
        <v>0</v>
      </c>
      <c r="X36" s="1">
        <f t="shared" si="1"/>
        <v>0</v>
      </c>
      <c r="Y36" s="110" t="e">
        <f t="shared" si="2"/>
        <v>#VALUE!</v>
      </c>
    </row>
    <row r="37" spans="1:25" ht="15.75">
      <c r="V37" s="1" t="s">
        <v>701</v>
      </c>
      <c r="W37" s="423">
        <f>SUM(K24:K26)</f>
        <v>0</v>
      </c>
      <c r="X37" s="1">
        <f t="shared" si="1"/>
        <v>0</v>
      </c>
      <c r="Y37" s="110" t="e">
        <f t="shared" si="2"/>
        <v>#VALUE!</v>
      </c>
    </row>
    <row r="38" spans="1:25" ht="18.75">
      <c r="B38" s="424" t="s">
        <v>528</v>
      </c>
      <c r="V38" s="1" t="s">
        <v>702</v>
      </c>
      <c r="W38" s="423">
        <f>SUM(L24:L26)</f>
        <v>0</v>
      </c>
      <c r="X38" s="1">
        <f t="shared" si="1"/>
        <v>0</v>
      </c>
      <c r="Y38" s="110" t="e">
        <f t="shared" si="2"/>
        <v>#VALUE!</v>
      </c>
    </row>
    <row r="39" spans="1:25" ht="15.75">
      <c r="B39" s="425" t="s">
        <v>529</v>
      </c>
      <c r="C39" s="425"/>
      <c r="D39" s="425"/>
      <c r="E39" s="1072" t="s">
        <v>530</v>
      </c>
      <c r="F39" s="1072"/>
      <c r="G39" s="1072" t="s">
        <v>531</v>
      </c>
      <c r="H39" s="1072"/>
      <c r="I39" s="1072" t="s">
        <v>532</v>
      </c>
      <c r="J39" s="1072"/>
      <c r="K39" s="1072" t="s">
        <v>533</v>
      </c>
      <c r="L39" s="1072"/>
      <c r="M39" s="426" t="s">
        <v>534</v>
      </c>
      <c r="V39" s="1" t="s">
        <v>703</v>
      </c>
      <c r="W39" s="421">
        <f>SUM(C29:C31)</f>
        <v>0</v>
      </c>
      <c r="X39" s="1">
        <f t="shared" si="1"/>
        <v>0</v>
      </c>
      <c r="Y39" s="110" t="e">
        <f t="shared" si="2"/>
        <v>#VALUE!</v>
      </c>
    </row>
    <row r="40" spans="1:25" ht="15.75">
      <c r="B40" s="1" t="s">
        <v>372</v>
      </c>
      <c r="E40" s="1073" t="str">
        <f>IF(J15&lt;&gt;"",J15-1,"")</f>
        <v/>
      </c>
      <c r="F40" s="1073"/>
      <c r="G40" s="1074" t="str">
        <f>IF(C19&lt;&gt;"",IF(SUM(S19:S21)-T22&lt;0,0,SUM(S19:S21)-T22),"")</f>
        <v/>
      </c>
      <c r="H40" s="1062"/>
      <c r="I40" s="1062" t="str">
        <f>IF(G40&lt;&gt;"",G40/E40,"")</f>
        <v/>
      </c>
      <c r="J40" s="1062"/>
      <c r="K40" s="1062" t="str">
        <f>IF(I43&lt;&gt;"",IF(I43=0,0,I40/I43),"")</f>
        <v/>
      </c>
      <c r="L40" s="1062"/>
      <c r="M40" s="427" t="str">
        <f>IF(K40&lt;&gt;"",IF(K40&gt;FINV(0.05,E40,E43),"*",""),"")</f>
        <v/>
      </c>
      <c r="V40" s="1" t="s">
        <v>704</v>
      </c>
      <c r="W40" s="423">
        <f>SUM(D29:D31)</f>
        <v>0</v>
      </c>
      <c r="X40" s="1">
        <f t="shared" si="1"/>
        <v>0</v>
      </c>
      <c r="Y40" s="110" t="e">
        <f t="shared" si="2"/>
        <v>#VALUE!</v>
      </c>
    </row>
    <row r="41" spans="1:25" ht="15.75">
      <c r="B41" s="1" t="s">
        <v>456</v>
      </c>
      <c r="E41" s="905" t="str">
        <f>IF(H15&lt;&gt;"",H15-1,"")</f>
        <v/>
      </c>
      <c r="F41" s="905"/>
      <c r="G41" s="1058" t="str">
        <f>IF(C19&lt;&gt;"",IF(SUM(U26:U35)-T22&lt;0,0,SUM(U26:U35)-T22),"")</f>
        <v/>
      </c>
      <c r="H41" s="1058"/>
      <c r="I41" s="1058" t="str">
        <f>IF(G41&lt;&gt;"",G41/E41,"")</f>
        <v/>
      </c>
      <c r="J41" s="1058"/>
      <c r="K41" s="1058" t="str">
        <f>IF(I43&lt;&gt;"",IF(I43=0,0,I41/I43),"")</f>
        <v/>
      </c>
      <c r="L41" s="1058"/>
      <c r="M41" s="427" t="str">
        <f>IF(K41&lt;&gt;"",IF(K41&gt;FINV(0.05,E41,E43),"*",""),"")</f>
        <v/>
      </c>
      <c r="V41" s="1" t="s">
        <v>705</v>
      </c>
      <c r="W41" s="423">
        <f>SUM(E29:E31)</f>
        <v>0</v>
      </c>
      <c r="X41" s="1">
        <f t="shared" si="1"/>
        <v>0</v>
      </c>
      <c r="Y41" s="110" t="e">
        <f t="shared" si="2"/>
        <v>#VALUE!</v>
      </c>
    </row>
    <row r="42" spans="1:25" ht="15.75">
      <c r="B42" s="1" t="s">
        <v>535</v>
      </c>
      <c r="E42" s="905" t="str">
        <f>IF(E40&lt;&gt;"",E40*E41,"")</f>
        <v/>
      </c>
      <c r="F42" s="905"/>
      <c r="G42" s="1058" t="str">
        <f>IF(C19&lt;&gt;"",IF(SUM(Y19:Y48)-SUM(U26:U35)-SUM(S19:S21)+T22&lt;0,0,SUM(Y19:Y48)-SUM(U26:U35)-SUM(S19:S21)+T22),"")</f>
        <v/>
      </c>
      <c r="H42" s="1058"/>
      <c r="I42" s="1058" t="str">
        <f>IF(G42&lt;&gt;"",G42/E42,"")</f>
        <v/>
      </c>
      <c r="J42" s="1058"/>
      <c r="K42" s="1058" t="str">
        <f>IF(I43&lt;&gt;"",IF(I43=0,0,I42/I43),"")</f>
        <v/>
      </c>
      <c r="L42" s="1058"/>
      <c r="M42" s="427" t="str">
        <f>IF(K42&lt;&gt;"",IF(K42&gt;FINV(0.05,E42,E43),"*",""),"")</f>
        <v/>
      </c>
      <c r="V42" s="1" t="s">
        <v>706</v>
      </c>
      <c r="W42" s="423">
        <f>SUM(F29:F31)</f>
        <v>0</v>
      </c>
      <c r="X42" s="1">
        <f t="shared" si="1"/>
        <v>0</v>
      </c>
      <c r="Y42" s="110" t="e">
        <f t="shared" si="2"/>
        <v>#VALUE!</v>
      </c>
    </row>
    <row r="43" spans="1:25" ht="15.75">
      <c r="B43" s="1" t="s">
        <v>536</v>
      </c>
      <c r="E43" s="905" t="str">
        <f>IF(H15&lt;&gt;"",H15*J15*(F15-1),"")</f>
        <v/>
      </c>
      <c r="F43" s="905"/>
      <c r="G43" s="1058" t="str">
        <f>IF(C19&lt;&gt;"",IF(G44-G40-G41-G42&lt;0,0,G44-G40-G41-G42),"")</f>
        <v/>
      </c>
      <c r="H43" s="1058"/>
      <c r="I43" s="1058" t="str">
        <f>IF(G43&lt;&gt;"",G43/E43,"")</f>
        <v/>
      </c>
      <c r="J43" s="1058"/>
      <c r="K43" s="1058"/>
      <c r="L43" s="1058"/>
      <c r="V43" s="1" t="s">
        <v>707</v>
      </c>
      <c r="W43" s="423">
        <f>SUM(G29:G31)</f>
        <v>0</v>
      </c>
      <c r="X43" s="1">
        <f t="shared" si="1"/>
        <v>0</v>
      </c>
      <c r="Y43" s="110" t="e">
        <f t="shared" si="2"/>
        <v>#VALUE!</v>
      </c>
    </row>
    <row r="44" spans="1:25" ht="15.75">
      <c r="B44" s="113" t="s">
        <v>436</v>
      </c>
      <c r="C44" s="113"/>
      <c r="D44" s="113"/>
      <c r="E44" s="906" t="str">
        <f>IF(F15&lt;&gt;"",F15*H15*J15-1,"")</f>
        <v/>
      </c>
      <c r="F44" s="906"/>
      <c r="G44" s="1065" t="str">
        <f>IF(C19&lt;&gt;"",(SUM(AB20:AK28)-T22),"")</f>
        <v/>
      </c>
      <c r="H44" s="1065"/>
      <c r="I44" s="1065"/>
      <c r="J44" s="1065"/>
      <c r="K44" s="1065"/>
      <c r="L44" s="1065"/>
      <c r="M44" s="113"/>
      <c r="V44" s="1" t="s">
        <v>708</v>
      </c>
      <c r="W44" s="423">
        <f>SUM(H29:H31)</f>
        <v>0</v>
      </c>
      <c r="X44" s="1">
        <f t="shared" si="1"/>
        <v>0</v>
      </c>
      <c r="Y44" s="110" t="e">
        <f t="shared" si="2"/>
        <v>#VALUE!</v>
      </c>
    </row>
    <row r="45" spans="1:25" ht="15.75">
      <c r="J45" s="1" t="s">
        <v>709</v>
      </c>
      <c r="V45" s="1" t="s">
        <v>710</v>
      </c>
      <c r="W45" s="423">
        <f>SUM(I29:I31)</f>
        <v>0</v>
      </c>
      <c r="X45" s="1">
        <f t="shared" si="1"/>
        <v>0</v>
      </c>
      <c r="Y45" s="110" t="e">
        <f t="shared" si="2"/>
        <v>#VALUE!</v>
      </c>
    </row>
    <row r="46" spans="1:25" ht="15.75">
      <c r="V46" s="1" t="s">
        <v>711</v>
      </c>
      <c r="W46" s="423">
        <f>SUM(J29:J31)</f>
        <v>0</v>
      </c>
      <c r="X46" s="1">
        <f t="shared" si="1"/>
        <v>0</v>
      </c>
      <c r="Y46" s="110" t="e">
        <f t="shared" si="2"/>
        <v>#VALUE!</v>
      </c>
    </row>
    <row r="47" spans="1:25" ht="15.75">
      <c r="V47" s="1" t="s">
        <v>712</v>
      </c>
      <c r="W47" s="423">
        <f>SUM(K29:K31)</f>
        <v>0</v>
      </c>
      <c r="X47" s="1">
        <f t="shared" si="1"/>
        <v>0</v>
      </c>
      <c r="Y47" s="110" t="e">
        <f t="shared" si="2"/>
        <v>#VALUE!</v>
      </c>
    </row>
    <row r="48" spans="1:25" ht="15.75">
      <c r="V48" s="1" t="s">
        <v>713</v>
      </c>
      <c r="W48" s="423">
        <f>SUM(L29:L31)</f>
        <v>0</v>
      </c>
      <c r="X48" s="1">
        <f t="shared" si="1"/>
        <v>0</v>
      </c>
      <c r="Y48" s="110" t="e">
        <f t="shared" si="2"/>
        <v>#VALUE!</v>
      </c>
    </row>
    <row r="49" spans="2:23">
      <c r="W49" s="423"/>
    </row>
    <row r="51" spans="2:23">
      <c r="B51" s="4"/>
      <c r="C51" s="4"/>
      <c r="D51" s="4"/>
      <c r="E51" s="4"/>
    </row>
    <row r="52" spans="2:23" ht="12.75" customHeight="1">
      <c r="B52" s="1070" t="s">
        <v>537</v>
      </c>
      <c r="C52" s="1070"/>
      <c r="D52" s="1070"/>
      <c r="E52" s="1070"/>
      <c r="F52" s="1066" t="s">
        <v>714</v>
      </c>
      <c r="G52" s="1066"/>
      <c r="H52" s="1068" t="s">
        <v>538</v>
      </c>
      <c r="I52" s="1068"/>
      <c r="J52" s="1068"/>
      <c r="K52" s="1063" t="s">
        <v>539</v>
      </c>
      <c r="L52" s="1063"/>
      <c r="M52" s="1063"/>
    </row>
    <row r="53" spans="2:23" ht="15.75">
      <c r="B53" s="1071"/>
      <c r="C53" s="1071"/>
      <c r="D53" s="1071"/>
      <c r="E53" s="1071"/>
      <c r="F53" s="1067"/>
      <c r="G53" s="1067"/>
      <c r="H53" s="1069"/>
      <c r="I53" s="1069"/>
      <c r="J53" s="1069"/>
      <c r="K53" s="1064"/>
      <c r="L53" s="1064"/>
      <c r="M53" s="1064"/>
      <c r="P53" s="1" t="s">
        <v>715</v>
      </c>
      <c r="Q53" s="113" t="str">
        <f>IF(G43&lt;&gt;"",(G43+G42)/(Q24-H15-J15+1),"")</f>
        <v/>
      </c>
    </row>
    <row r="54" spans="2:23" ht="15.75" customHeight="1">
      <c r="B54" s="1" t="s">
        <v>540</v>
      </c>
      <c r="F54" s="1062" t="str">
        <f>IF(Q53&lt;&gt;"",SQRT(Q53),"")</f>
        <v/>
      </c>
      <c r="G54" s="1062"/>
      <c r="H54" s="1061" t="str">
        <f>IF(F54&lt;&gt;"",F54/M62,"")</f>
        <v/>
      </c>
      <c r="I54" s="1061"/>
      <c r="J54" s="1061"/>
      <c r="K54" s="1061" t="str">
        <f>IF(H54&lt;&gt;"",H54*H54,"")</f>
        <v/>
      </c>
      <c r="L54" s="1061"/>
      <c r="M54" s="1061"/>
    </row>
    <row r="55" spans="2:23" ht="15.75" customHeight="1">
      <c r="B55" s="1" t="s">
        <v>541</v>
      </c>
      <c r="F55" s="1060" t="str">
        <f>IF(Q53&lt;&gt;"",IF(I40-Q53&lt;0,0,SQRT((I40-Q53)/Q23)),"")</f>
        <v/>
      </c>
      <c r="G55" s="1060"/>
      <c r="H55" s="1057" t="str">
        <f>IF(F55&lt;&gt;"",F55/M62,"")</f>
        <v/>
      </c>
      <c r="I55" s="1057"/>
      <c r="J55" s="1057"/>
      <c r="K55" s="1059" t="str">
        <f>IF(H55&lt;&gt;"",H55*H55,"")</f>
        <v/>
      </c>
      <c r="L55" s="1059"/>
      <c r="M55" s="1059"/>
    </row>
    <row r="56" spans="2:23" ht="15.75" customHeight="1">
      <c r="B56" s="1" t="s">
        <v>542</v>
      </c>
      <c r="F56" s="1060" t="str">
        <f>IF(I42&lt;&gt;"",IF(I42-I43&lt;0,0,SQRT((I42-I43)/H15)),"")</f>
        <v/>
      </c>
      <c r="G56" s="1060"/>
      <c r="H56" s="1057" t="str">
        <f>IF(F56&lt;&gt;"",F56/M62,"")</f>
        <v/>
      </c>
      <c r="I56" s="1057"/>
      <c r="J56" s="1057"/>
      <c r="K56" s="1059" t="str">
        <f>IF(H56&lt;&gt;"",H56*H56,"")</f>
        <v/>
      </c>
      <c r="L56" s="1059"/>
      <c r="M56" s="1059"/>
    </row>
    <row r="57" spans="2:23" ht="15.75" customHeight="1">
      <c r="B57" s="1" t="s">
        <v>479</v>
      </c>
      <c r="F57" s="1060" t="str">
        <f>IF(F54&lt;&gt;"",SQRT(F54*F54+F55*F55),"")</f>
        <v/>
      </c>
      <c r="G57" s="1060"/>
      <c r="H57" s="1057" t="str">
        <f>IF(F57&lt;&gt;"",F57/M62,"")</f>
        <v/>
      </c>
      <c r="I57" s="1057"/>
      <c r="J57" s="1057"/>
      <c r="K57" s="1059" t="str">
        <f>IF(H57&lt;&gt;"",H57*H57,"")</f>
        <v/>
      </c>
      <c r="L57" s="1059"/>
      <c r="M57" s="1059"/>
    </row>
    <row r="58" spans="2:23" ht="15.75" customHeight="1">
      <c r="B58" s="1" t="s">
        <v>543</v>
      </c>
      <c r="F58" s="1060" t="str">
        <f>IF(Q53&lt;&gt;"",IF(I41-Q53&lt;0,0,SQRT((I41-Q53)/J15/F15)),"")</f>
        <v/>
      </c>
      <c r="G58" s="1060"/>
      <c r="H58" s="1057" t="str">
        <f>IF(F58&lt;&gt;"",F58/M62,"")</f>
        <v/>
      </c>
      <c r="I58" s="1057"/>
      <c r="J58" s="1057"/>
      <c r="K58" s="1059" t="str">
        <f>IF(H58&lt;&gt;"",H58*H58,"")</f>
        <v/>
      </c>
      <c r="L58" s="1059"/>
      <c r="M58" s="1059"/>
    </row>
    <row r="59" spans="2:23">
      <c r="H59" s="429" t="str">
        <f>IF(H57&lt;&gt;"",IF(H57&lt;10%,"Gage system O.K",IF(H57&lt;30%,"Gage system may be acceptable","Gage system needs improvement")),"")</f>
        <v/>
      </c>
    </row>
    <row r="61" spans="2:23">
      <c r="B61" s="1" t="s">
        <v>544</v>
      </c>
    </row>
    <row r="62" spans="2:23">
      <c r="B62" s="1" t="s">
        <v>545</v>
      </c>
      <c r="D62" s="421" t="str">
        <f>IF(AND(C19&lt;&gt;"",D13&lt;&gt;"Lower"),E13-D13,"")</f>
        <v/>
      </c>
      <c r="J62" s="1" t="s">
        <v>546</v>
      </c>
      <c r="M62" s="6" t="str">
        <f>IF(F57&lt;&gt;"",SQRT(F57*F57+F58*F58),"")</f>
        <v/>
      </c>
    </row>
    <row r="63" spans="2:23">
      <c r="B63" s="4" t="s">
        <v>547</v>
      </c>
      <c r="C63" s="4"/>
      <c r="D63" s="4"/>
      <c r="E63" s="4"/>
      <c r="F63" s="4"/>
      <c r="G63" s="4"/>
      <c r="H63" s="5" t="str">
        <f>IF(H58&lt;&gt;"",TRUNC(1.41*F58/F57),"")</f>
        <v/>
      </c>
      <c r="I63" s="4"/>
      <c r="J63" s="4"/>
      <c r="K63" s="4"/>
      <c r="L63" s="4"/>
      <c r="M63" s="4"/>
    </row>
    <row r="64" spans="2:23">
      <c r="B64" s="113"/>
      <c r="C64" s="113"/>
      <c r="D64" s="113"/>
      <c r="E64" s="113"/>
      <c r="F64" s="113"/>
      <c r="G64" s="113"/>
      <c r="H64" s="430" t="str">
        <f>IF(H63&lt;&gt;"",IF(H63&lt;5,"Gage discrimination low","Gage discrimination acceptable"),"")</f>
        <v/>
      </c>
      <c r="I64" s="430"/>
      <c r="J64" s="430"/>
      <c r="K64" s="430"/>
      <c r="L64" s="113"/>
      <c r="M64" s="113"/>
    </row>
  </sheetData>
  <mergeCells count="45">
    <mergeCell ref="K42:L42"/>
    <mergeCell ref="A1:N4"/>
    <mergeCell ref="I41:J41"/>
    <mergeCell ref="K39:L39"/>
    <mergeCell ref="K40:L40"/>
    <mergeCell ref="K41:L41"/>
    <mergeCell ref="I39:J39"/>
    <mergeCell ref="E40:F40"/>
    <mergeCell ref="G40:H40"/>
    <mergeCell ref="G41:H41"/>
    <mergeCell ref="G39:H39"/>
    <mergeCell ref="E39:F39"/>
    <mergeCell ref="E41:F41"/>
    <mergeCell ref="H54:J54"/>
    <mergeCell ref="E42:F42"/>
    <mergeCell ref="I40:J40"/>
    <mergeCell ref="A9:C9"/>
    <mergeCell ref="K52:M53"/>
    <mergeCell ref="I43:J43"/>
    <mergeCell ref="I42:J42"/>
    <mergeCell ref="G42:H42"/>
    <mergeCell ref="I44:J44"/>
    <mergeCell ref="K44:L44"/>
    <mergeCell ref="G44:H44"/>
    <mergeCell ref="F52:G53"/>
    <mergeCell ref="H52:J53"/>
    <mergeCell ref="E43:F43"/>
    <mergeCell ref="B52:E53"/>
    <mergeCell ref="E44:F44"/>
    <mergeCell ref="H55:J55"/>
    <mergeCell ref="K43:L43"/>
    <mergeCell ref="G43:H43"/>
    <mergeCell ref="K57:M57"/>
    <mergeCell ref="F58:G58"/>
    <mergeCell ref="H58:J58"/>
    <mergeCell ref="H56:J56"/>
    <mergeCell ref="H57:J57"/>
    <mergeCell ref="K58:M58"/>
    <mergeCell ref="F57:G57"/>
    <mergeCell ref="K54:M54"/>
    <mergeCell ref="K55:M55"/>
    <mergeCell ref="K56:M56"/>
    <mergeCell ref="F55:G55"/>
    <mergeCell ref="F56:G56"/>
    <mergeCell ref="F54:G54"/>
  </mergeCells>
  <phoneticPr fontId="26" type="noConversion"/>
  <printOptions horizontalCentered="1" verticalCentered="1"/>
  <pageMargins left="0.25" right="0.25" top="0.41" bottom="0.8125" header="0.17" footer="0.16"/>
  <pageSetup fitToHeight="27" orientation="portrait" r:id="rId1"/>
  <headerFooter alignWithMargins="0">
    <oddFooter xml:space="preserve">&amp;L&amp;6&amp;Z&amp;F&amp;CQAI_6012 AAR Mobility PPAP Workbook
</oddFooter>
  </headerFooter>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3"/>
    <pageSetUpPr fitToPage="1"/>
  </sheetPr>
  <dimension ref="A1:BI435"/>
  <sheetViews>
    <sheetView zoomScaleNormal="100" workbookViewId="0">
      <selection activeCell="O21" sqref="O21"/>
    </sheetView>
  </sheetViews>
  <sheetFormatPr defaultColWidth="9.140625" defaultRowHeight="12.75"/>
  <cols>
    <col min="1" max="1" width="7.5703125" style="1" customWidth="1"/>
    <col min="2" max="2" width="4.85546875" style="1" customWidth="1"/>
    <col min="3" max="4" width="6.28515625" style="1" customWidth="1"/>
    <col min="5" max="5" width="6.42578125" style="1" customWidth="1"/>
    <col min="6" max="12" width="6.28515625" style="1" customWidth="1"/>
    <col min="13" max="13" width="5.28515625" style="1" customWidth="1"/>
    <col min="14" max="15" width="9.140625" style="1"/>
    <col min="16" max="16" width="10.7109375" style="1" customWidth="1"/>
    <col min="17" max="62" width="6.140625" style="1" customWidth="1"/>
    <col min="63" max="16384" width="9.140625" style="1"/>
  </cols>
  <sheetData>
    <row r="1" spans="1:14">
      <c r="A1" s="1075" t="s">
        <v>548</v>
      </c>
      <c r="B1" s="1076"/>
      <c r="C1" s="1076"/>
      <c r="D1" s="1076"/>
      <c r="E1" s="1076"/>
      <c r="F1" s="1076"/>
      <c r="G1" s="1076"/>
      <c r="H1" s="1076"/>
      <c r="I1" s="1076"/>
      <c r="J1" s="1076"/>
      <c r="K1" s="1076"/>
      <c r="L1" s="1076"/>
      <c r="M1" s="1076"/>
      <c r="N1" s="1077"/>
    </row>
    <row r="2" spans="1:14">
      <c r="A2" s="1078"/>
      <c r="B2" s="1079"/>
      <c r="C2" s="1079"/>
      <c r="D2" s="1079"/>
      <c r="E2" s="1079"/>
      <c r="F2" s="1079"/>
      <c r="G2" s="1079"/>
      <c r="H2" s="1079"/>
      <c r="I2" s="1079"/>
      <c r="J2" s="1079"/>
      <c r="K2" s="1079"/>
      <c r="L2" s="1079"/>
      <c r="M2" s="1079"/>
      <c r="N2" s="1080"/>
    </row>
    <row r="3" spans="1:14">
      <c r="A3" s="1078"/>
      <c r="B3" s="1079"/>
      <c r="C3" s="1079"/>
      <c r="D3" s="1079"/>
      <c r="E3" s="1079"/>
      <c r="F3" s="1079"/>
      <c r="G3" s="1079"/>
      <c r="H3" s="1079"/>
      <c r="I3" s="1079"/>
      <c r="J3" s="1079"/>
      <c r="K3" s="1079"/>
      <c r="L3" s="1079"/>
      <c r="M3" s="1079"/>
      <c r="N3" s="1080"/>
    </row>
    <row r="4" spans="1:14" ht="22.5" customHeight="1" thickBot="1">
      <c r="A4" s="1081"/>
      <c r="B4" s="1082"/>
      <c r="C4" s="1082"/>
      <c r="D4" s="1082"/>
      <c r="E4" s="1082"/>
      <c r="F4" s="1082"/>
      <c r="G4" s="1082"/>
      <c r="H4" s="1082"/>
      <c r="I4" s="1082"/>
      <c r="J4" s="1082"/>
      <c r="K4" s="1082"/>
      <c r="L4" s="1082"/>
      <c r="M4" s="1082"/>
      <c r="N4" s="1083"/>
    </row>
    <row r="5" spans="1:14" ht="18">
      <c r="A5" s="328" t="s">
        <v>449</v>
      </c>
      <c r="B5" s="134"/>
      <c r="C5" s="134"/>
      <c r="D5" s="134"/>
      <c r="E5" s="134"/>
      <c r="F5" s="134"/>
      <c r="G5" s="134"/>
      <c r="H5" s="134"/>
      <c r="I5" s="134"/>
      <c r="J5" s="134"/>
      <c r="K5" s="134"/>
      <c r="L5" s="134"/>
      <c r="M5" s="134"/>
      <c r="N5" s="134"/>
    </row>
    <row r="6" spans="1:14" ht="18">
      <c r="A6" s="328" t="s">
        <v>549</v>
      </c>
      <c r="B6" s="134"/>
      <c r="C6" s="134"/>
      <c r="D6" s="134"/>
      <c r="E6" s="134"/>
      <c r="F6" s="134"/>
      <c r="G6" s="134"/>
      <c r="H6" s="134"/>
      <c r="I6" s="134"/>
      <c r="J6" s="134"/>
      <c r="K6" s="134"/>
      <c r="L6" s="134"/>
      <c r="M6" s="134"/>
      <c r="N6" s="134"/>
    </row>
    <row r="8" spans="1:14" s="160" customFormat="1" ht="11.25">
      <c r="A8" s="161" t="s">
        <v>95</v>
      </c>
      <c r="B8" s="162"/>
      <c r="C8" s="162"/>
      <c r="D8" s="162"/>
      <c r="E8" s="163"/>
      <c r="F8" s="161" t="s">
        <v>371</v>
      </c>
      <c r="G8" s="162"/>
      <c r="H8" s="162"/>
      <c r="I8" s="163"/>
      <c r="J8" s="161" t="s">
        <v>412</v>
      </c>
      <c r="K8" s="162"/>
      <c r="L8" s="162"/>
      <c r="M8" s="162"/>
      <c r="N8" s="163"/>
    </row>
    <row r="9" spans="1:14">
      <c r="A9" s="837" t="s">
        <v>869</v>
      </c>
      <c r="B9" s="838"/>
      <c r="C9" s="838"/>
      <c r="D9" s="113"/>
      <c r="E9" s="114"/>
      <c r="F9" s="170"/>
      <c r="G9" s="253"/>
      <c r="H9" s="253"/>
      <c r="I9" s="254"/>
      <c r="J9" s="170"/>
      <c r="K9" s="253"/>
      <c r="L9" s="253"/>
      <c r="M9" s="253"/>
      <c r="N9" s="254"/>
    </row>
    <row r="10" spans="1:14" s="160" customFormat="1" ht="11.25">
      <c r="A10" s="161" t="s">
        <v>93</v>
      </c>
      <c r="B10" s="162"/>
      <c r="C10" s="162"/>
      <c r="D10" s="162"/>
      <c r="E10" s="163"/>
      <c r="F10" s="161" t="s">
        <v>373</v>
      </c>
      <c r="G10" s="162"/>
      <c r="H10" s="162"/>
      <c r="I10" s="163"/>
      <c r="J10" s="161" t="s">
        <v>413</v>
      </c>
      <c r="K10" s="162"/>
      <c r="L10" s="162"/>
      <c r="M10" s="162"/>
      <c r="N10" s="163"/>
    </row>
    <row r="11" spans="1:14">
      <c r="A11" s="112" t="s">
        <v>869</v>
      </c>
      <c r="B11" s="113"/>
      <c r="C11" s="113"/>
      <c r="D11" s="113"/>
      <c r="E11" s="114"/>
      <c r="F11" s="170"/>
      <c r="G11" s="253"/>
      <c r="H11" s="253"/>
      <c r="I11" s="254"/>
      <c r="J11" s="170"/>
      <c r="K11" s="253"/>
      <c r="L11" s="253"/>
      <c r="M11" s="253"/>
      <c r="N11" s="254"/>
    </row>
    <row r="12" spans="1:14" s="160" customFormat="1" ht="11.25">
      <c r="A12" s="161" t="s">
        <v>375</v>
      </c>
      <c r="B12" s="162"/>
      <c r="C12" s="162"/>
      <c r="D12" s="329" t="s">
        <v>451</v>
      </c>
      <c r="E12" s="330"/>
      <c r="F12" s="161" t="s">
        <v>376</v>
      </c>
      <c r="G12" s="162"/>
      <c r="H12" s="162"/>
      <c r="I12" s="163"/>
      <c r="J12" s="161" t="s">
        <v>416</v>
      </c>
      <c r="K12" s="162"/>
      <c r="L12" s="162"/>
      <c r="M12" s="162"/>
      <c r="N12" s="163"/>
    </row>
    <row r="13" spans="1:14">
      <c r="A13" s="170"/>
      <c r="B13" s="253"/>
      <c r="C13" s="253"/>
      <c r="D13" s="299" t="s">
        <v>452</v>
      </c>
      <c r="E13" s="300" t="s">
        <v>453</v>
      </c>
      <c r="F13" s="170"/>
      <c r="G13" s="253"/>
      <c r="H13" s="253"/>
      <c r="I13" s="254"/>
      <c r="J13" s="170"/>
      <c r="K13" s="253"/>
      <c r="L13" s="253"/>
      <c r="M13" s="253"/>
      <c r="N13" s="254"/>
    </row>
    <row r="14" spans="1:14">
      <c r="A14" s="161" t="s">
        <v>454</v>
      </c>
      <c r="B14" s="162"/>
      <c r="C14" s="162"/>
      <c r="D14" s="162"/>
      <c r="E14" s="163"/>
      <c r="F14" s="161" t="s">
        <v>455</v>
      </c>
      <c r="G14" s="163"/>
      <c r="H14" s="161" t="s">
        <v>456</v>
      </c>
      <c r="I14" s="163"/>
      <c r="J14" s="161" t="s">
        <v>457</v>
      </c>
      <c r="K14" s="163"/>
      <c r="L14" s="161" t="s">
        <v>374</v>
      </c>
      <c r="M14" s="162"/>
      <c r="N14" s="163"/>
    </row>
    <row r="15" spans="1:14">
      <c r="A15" s="170"/>
      <c r="B15" s="253"/>
      <c r="C15" s="253"/>
      <c r="D15" s="253"/>
      <c r="E15" s="254"/>
      <c r="F15" s="331" t="str">
        <f>IF(C19&lt;&gt;"",COUNT(C19:C21),"")</f>
        <v/>
      </c>
      <c r="G15" s="332"/>
      <c r="H15" s="331" t="str">
        <f>IF(C19&lt;&gt;"",COUNT(C19:L19),"")</f>
        <v/>
      </c>
      <c r="I15" s="332"/>
      <c r="J15" s="331" t="str">
        <f>IF(C19&lt;&gt;"",COUNT(C19,C24,C29),"")</f>
        <v/>
      </c>
      <c r="K15" s="333"/>
      <c r="L15" s="170"/>
      <c r="M15" s="253"/>
      <c r="N15" s="254"/>
    </row>
    <row r="16" spans="1:14">
      <c r="A16" s="4"/>
      <c r="B16" s="4"/>
      <c r="C16" s="4"/>
      <c r="D16" s="335"/>
      <c r="E16" s="335" t="str">
        <f>IF(D13&gt;E13,"ENTER LOWER TOLERANCE IN D9","")</f>
        <v/>
      </c>
      <c r="F16" s="4" t="str">
        <f>IF(C19&lt;&gt;"",IF(F15*H15*J15&lt;90,"DERIVED RESULTS MAY NOT BE STATISTICALLY SOUND",""),"")</f>
        <v/>
      </c>
      <c r="G16" s="5"/>
      <c r="H16" s="4"/>
      <c r="I16" s="5"/>
      <c r="J16" s="4"/>
      <c r="K16" s="5"/>
      <c r="L16" s="4"/>
      <c r="M16" s="4"/>
      <c r="N16" s="4"/>
    </row>
    <row r="17" spans="1:14">
      <c r="A17" s="282" t="s">
        <v>458</v>
      </c>
      <c r="B17" s="117"/>
      <c r="C17" s="431" t="s">
        <v>307</v>
      </c>
      <c r="D17" s="432"/>
      <c r="E17" s="432"/>
      <c r="F17" s="432"/>
      <c r="G17" s="432"/>
      <c r="H17" s="432"/>
      <c r="I17" s="432"/>
      <c r="J17" s="432"/>
      <c r="K17" s="432"/>
      <c r="L17" s="433"/>
      <c r="M17" s="266" t="s">
        <v>459</v>
      </c>
      <c r="N17" s="434"/>
    </row>
    <row r="18" spans="1:14" ht="15.75" customHeight="1" thickBot="1">
      <c r="A18" s="435" t="s">
        <v>461</v>
      </c>
      <c r="B18" s="114"/>
      <c r="C18" s="363">
        <v>1</v>
      </c>
      <c r="D18" s="363">
        <v>2</v>
      </c>
      <c r="E18" s="363">
        <v>3</v>
      </c>
      <c r="F18" s="363">
        <v>4</v>
      </c>
      <c r="G18" s="363">
        <v>5</v>
      </c>
      <c r="H18" s="363">
        <v>6</v>
      </c>
      <c r="I18" s="363">
        <v>7</v>
      </c>
      <c r="J18" s="363">
        <v>8</v>
      </c>
      <c r="K18" s="363">
        <v>9</v>
      </c>
      <c r="L18" s="363">
        <v>10</v>
      </c>
      <c r="M18" s="112"/>
      <c r="N18" s="114"/>
    </row>
    <row r="19" spans="1:14" ht="18" customHeight="1">
      <c r="A19" s="356" t="s">
        <v>463</v>
      </c>
      <c r="B19" s="357">
        <v>1</v>
      </c>
      <c r="C19" s="436" t="str">
        <f>IF('GR&amp;R VAR(Tol)'!C19&lt;&gt;"",'GR&amp;R VAR(Tol)'!C19,"")</f>
        <v/>
      </c>
      <c r="D19" s="436" t="str">
        <f>IF('GR&amp;R VAR(Tol)'!D19&lt;&gt;"",'GR&amp;R VAR(Tol)'!D19,"")</f>
        <v/>
      </c>
      <c r="E19" s="436" t="str">
        <f>IF('GR&amp;R VAR(Tol)'!E19&lt;&gt;"",'GR&amp;R VAR(Tol)'!E19,"")</f>
        <v/>
      </c>
      <c r="F19" s="436" t="str">
        <f>IF('GR&amp;R VAR(Tol)'!F19&lt;&gt;"",'GR&amp;R VAR(Tol)'!F19,"")</f>
        <v/>
      </c>
      <c r="G19" s="436" t="str">
        <f>IF('GR&amp;R VAR(Tol)'!G19&lt;&gt;"",'GR&amp;R VAR(Tol)'!G19,"")</f>
        <v/>
      </c>
      <c r="H19" s="436" t="str">
        <f>IF('GR&amp;R VAR(Tol)'!H19&lt;&gt;"",'GR&amp;R VAR(Tol)'!H19,"")</f>
        <v/>
      </c>
      <c r="I19" s="436" t="str">
        <f>IF('GR&amp;R VAR(Tol)'!I19&lt;&gt;"",'GR&amp;R VAR(Tol)'!I19,"")</f>
        <v/>
      </c>
      <c r="J19" s="436" t="str">
        <f>IF('GR&amp;R VAR(Tol)'!J19&lt;&gt;"",'GR&amp;R VAR(Tol)'!J19,"")</f>
        <v/>
      </c>
      <c r="K19" s="436" t="str">
        <f>IF('GR&amp;R VAR(Tol)'!K19&lt;&gt;"",'GR&amp;R VAR(Tol)'!K19,"")</f>
        <v/>
      </c>
      <c r="L19" s="436" t="str">
        <f>IF('GR&amp;R VAR(Tol)'!L19&lt;&gt;"",'GR&amp;R VAR(Tol)'!L19,"")</f>
        <v/>
      </c>
      <c r="M19" s="359"/>
      <c r="N19" s="360" t="str">
        <f t="shared" ref="N19:N33" si="0">IF(C19&lt;&gt;"",AVERAGE(C19:L19),"")</f>
        <v/>
      </c>
    </row>
    <row r="20" spans="1:14" ht="18" customHeight="1">
      <c r="A20" s="366">
        <v>2</v>
      </c>
      <c r="B20" s="325">
        <v>2</v>
      </c>
      <c r="C20" s="367" t="str">
        <f>IF('GR&amp;R VAR(Tol)'!C20&lt;&gt;"",'GR&amp;R VAR(Tol)'!C20,"")</f>
        <v/>
      </c>
      <c r="D20" s="367" t="str">
        <f>IF('GR&amp;R VAR(Tol)'!D20&lt;&gt;"",'GR&amp;R VAR(Tol)'!D20,"")</f>
        <v/>
      </c>
      <c r="E20" s="367" t="str">
        <f>IF('GR&amp;R VAR(Tol)'!E20&lt;&gt;"",'GR&amp;R VAR(Tol)'!E20,"")</f>
        <v/>
      </c>
      <c r="F20" s="367" t="str">
        <f>IF('GR&amp;R VAR(Tol)'!F20&lt;&gt;"",'GR&amp;R VAR(Tol)'!F20,"")</f>
        <v/>
      </c>
      <c r="G20" s="367" t="str">
        <f>IF('GR&amp;R VAR(Tol)'!G20&lt;&gt;"",'GR&amp;R VAR(Tol)'!G20,"")</f>
        <v/>
      </c>
      <c r="H20" s="367" t="str">
        <f>IF('GR&amp;R VAR(Tol)'!H20&lt;&gt;"",'GR&amp;R VAR(Tol)'!H20,"")</f>
        <v/>
      </c>
      <c r="I20" s="367" t="str">
        <f>IF('GR&amp;R VAR(Tol)'!I20&lt;&gt;"",'GR&amp;R VAR(Tol)'!I20,"")</f>
        <v/>
      </c>
      <c r="J20" s="367" t="str">
        <f>IF('GR&amp;R VAR(Tol)'!J20&lt;&gt;"",'GR&amp;R VAR(Tol)'!J20,"")</f>
        <v/>
      </c>
      <c r="K20" s="367" t="str">
        <f>IF('GR&amp;R VAR(Tol)'!K20&lt;&gt;"",'GR&amp;R VAR(Tol)'!K20,"")</f>
        <v/>
      </c>
      <c r="L20" s="367" t="str">
        <f>IF('GR&amp;R VAR(Tol)'!L20&lt;&gt;"",'GR&amp;R VAR(Tol)'!L20,"")</f>
        <v/>
      </c>
      <c r="M20" s="113"/>
      <c r="N20" s="368" t="str">
        <f t="shared" si="0"/>
        <v/>
      </c>
    </row>
    <row r="21" spans="1:14" ht="18" customHeight="1">
      <c r="A21" s="371">
        <f>A20+1</f>
        <v>3</v>
      </c>
      <c r="B21" s="321">
        <v>3</v>
      </c>
      <c r="C21" s="437" t="str">
        <f>IF('GR&amp;R VAR(Tol)'!C21&lt;&gt;"",'GR&amp;R VAR(Tol)'!C21,"")</f>
        <v/>
      </c>
      <c r="D21" s="437" t="str">
        <f>IF('GR&amp;R VAR(Tol)'!D21&lt;&gt;"",'GR&amp;R VAR(Tol)'!D21,"")</f>
        <v/>
      </c>
      <c r="E21" s="437" t="str">
        <f>IF('GR&amp;R VAR(Tol)'!E21&lt;&gt;"",'GR&amp;R VAR(Tol)'!E21,"")</f>
        <v/>
      </c>
      <c r="F21" s="437" t="str">
        <f>IF('GR&amp;R VAR(Tol)'!F21&lt;&gt;"",'GR&amp;R VAR(Tol)'!F21,"")</f>
        <v/>
      </c>
      <c r="G21" s="437" t="str">
        <f>IF('GR&amp;R VAR(Tol)'!G21&lt;&gt;"",'GR&amp;R VAR(Tol)'!G21,"")</f>
        <v/>
      </c>
      <c r="H21" s="437" t="str">
        <f>IF('GR&amp;R VAR(Tol)'!H21&lt;&gt;"",'GR&amp;R VAR(Tol)'!H21,"")</f>
        <v/>
      </c>
      <c r="I21" s="437" t="str">
        <f>IF('GR&amp;R VAR(Tol)'!I21&lt;&gt;"",'GR&amp;R VAR(Tol)'!I21,"")</f>
        <v/>
      </c>
      <c r="J21" s="437" t="str">
        <f>IF('GR&amp;R VAR(Tol)'!J21&lt;&gt;"",'GR&amp;R VAR(Tol)'!J21,"")</f>
        <v/>
      </c>
      <c r="K21" s="437" t="str">
        <f>IF('GR&amp;R VAR(Tol)'!K21&lt;&gt;"",'GR&amp;R VAR(Tol)'!K21,"")</f>
        <v/>
      </c>
      <c r="L21" s="437" t="str">
        <f>IF('GR&amp;R VAR(Tol)'!L21&lt;&gt;"",'GR&amp;R VAR(Tol)'!L21,"")</f>
        <v/>
      </c>
      <c r="M21" s="113"/>
      <c r="N21" s="368" t="str">
        <f t="shared" si="0"/>
        <v/>
      </c>
    </row>
    <row r="22" spans="1:14" ht="18" customHeight="1">
      <c r="A22" s="371">
        <f>A21+1</f>
        <v>4</v>
      </c>
      <c r="B22" s="321" t="s">
        <v>468</v>
      </c>
      <c r="C22" s="376" t="str">
        <f t="shared" ref="C22:L22" si="1">IF(C19&lt;&gt;"",SUM(C19:C21)/COUNT(C19:C21),"")</f>
        <v/>
      </c>
      <c r="D22" s="376" t="str">
        <f t="shared" si="1"/>
        <v/>
      </c>
      <c r="E22" s="376" t="str">
        <f t="shared" si="1"/>
        <v/>
      </c>
      <c r="F22" s="376" t="str">
        <f t="shared" si="1"/>
        <v/>
      </c>
      <c r="G22" s="376" t="str">
        <f t="shared" si="1"/>
        <v/>
      </c>
      <c r="H22" s="376" t="str">
        <f t="shared" si="1"/>
        <v/>
      </c>
      <c r="I22" s="376" t="str">
        <f t="shared" si="1"/>
        <v/>
      </c>
      <c r="J22" s="376" t="str">
        <f t="shared" si="1"/>
        <v/>
      </c>
      <c r="K22" s="376" t="str">
        <f t="shared" si="1"/>
        <v/>
      </c>
      <c r="L22" s="376" t="str">
        <f t="shared" si="1"/>
        <v/>
      </c>
      <c r="M22" s="377" t="s">
        <v>648</v>
      </c>
      <c r="N22" s="368" t="str">
        <f t="shared" si="0"/>
        <v/>
      </c>
    </row>
    <row r="23" spans="1:14" ht="18" customHeight="1" thickBot="1">
      <c r="A23" s="378">
        <f>A22+1</f>
        <v>5</v>
      </c>
      <c r="B23" s="379" t="s">
        <v>160</v>
      </c>
      <c r="C23" s="380" t="str">
        <f t="shared" ref="C23:L23" si="2">IF(C19&lt;&gt;"",MAX(C19:C21)-MIN(C19:C21),"")</f>
        <v/>
      </c>
      <c r="D23" s="380" t="str">
        <f t="shared" si="2"/>
        <v/>
      </c>
      <c r="E23" s="380" t="str">
        <f t="shared" si="2"/>
        <v/>
      </c>
      <c r="F23" s="380" t="str">
        <f t="shared" si="2"/>
        <v/>
      </c>
      <c r="G23" s="380" t="str">
        <f t="shared" si="2"/>
        <v/>
      </c>
      <c r="H23" s="380" t="str">
        <f t="shared" si="2"/>
        <v/>
      </c>
      <c r="I23" s="380" t="str">
        <f t="shared" si="2"/>
        <v/>
      </c>
      <c r="J23" s="380" t="str">
        <f t="shared" si="2"/>
        <v/>
      </c>
      <c r="K23" s="380" t="str">
        <f t="shared" si="2"/>
        <v/>
      </c>
      <c r="L23" s="380" t="str">
        <f t="shared" si="2"/>
        <v/>
      </c>
      <c r="M23" s="381" t="s">
        <v>649</v>
      </c>
      <c r="N23" s="368" t="str">
        <f t="shared" si="0"/>
        <v/>
      </c>
    </row>
    <row r="24" spans="1:14" ht="18" customHeight="1">
      <c r="A24" s="356" t="s">
        <v>473</v>
      </c>
      <c r="B24" s="357">
        <v>1</v>
      </c>
      <c r="C24" s="436" t="str">
        <f>IF('GR&amp;R VAR(Tol)'!C24&lt;&gt;"",'GR&amp;R VAR(Tol)'!C24,"")</f>
        <v/>
      </c>
      <c r="D24" s="436" t="str">
        <f>IF('GR&amp;R VAR(Tol)'!D24&lt;&gt;"",'GR&amp;R VAR(Tol)'!D24,"")</f>
        <v/>
      </c>
      <c r="E24" s="436" t="str">
        <f>IF('GR&amp;R VAR(Tol)'!E24&lt;&gt;"",'GR&amp;R VAR(Tol)'!E24,"")</f>
        <v/>
      </c>
      <c r="F24" s="436" t="str">
        <f>IF('GR&amp;R VAR(Tol)'!F24&lt;&gt;"",'GR&amp;R VAR(Tol)'!F24,"")</f>
        <v/>
      </c>
      <c r="G24" s="436" t="str">
        <f>IF('GR&amp;R VAR(Tol)'!G24&lt;&gt;"",'GR&amp;R VAR(Tol)'!G24,"")</f>
        <v/>
      </c>
      <c r="H24" s="436" t="str">
        <f>IF('GR&amp;R VAR(Tol)'!H24&lt;&gt;"",'GR&amp;R VAR(Tol)'!H24,"")</f>
        <v/>
      </c>
      <c r="I24" s="436" t="str">
        <f>IF('GR&amp;R VAR(Tol)'!I24&lt;&gt;"",'GR&amp;R VAR(Tol)'!I24,"")</f>
        <v/>
      </c>
      <c r="J24" s="436" t="str">
        <f>IF('GR&amp;R VAR(Tol)'!J24&lt;&gt;"",'GR&amp;R VAR(Tol)'!J24,"")</f>
        <v/>
      </c>
      <c r="K24" s="436" t="str">
        <f>IF('GR&amp;R VAR(Tol)'!K24&lt;&gt;"",'GR&amp;R VAR(Tol)'!K24,"")</f>
        <v/>
      </c>
      <c r="L24" s="436" t="str">
        <f>IF('GR&amp;R VAR(Tol)'!L24&lt;&gt;"",'GR&amp;R VAR(Tol)'!L24,"")</f>
        <v/>
      </c>
      <c r="M24" s="359"/>
      <c r="N24" s="360" t="str">
        <f t="shared" si="0"/>
        <v/>
      </c>
    </row>
    <row r="25" spans="1:14" ht="18" customHeight="1">
      <c r="A25" s="371">
        <v>7</v>
      </c>
      <c r="B25" s="325">
        <v>2</v>
      </c>
      <c r="C25" s="367" t="str">
        <f>IF('GR&amp;R VAR(Tol)'!C25&lt;&gt;"",'GR&amp;R VAR(Tol)'!C25,"")</f>
        <v/>
      </c>
      <c r="D25" s="367" t="str">
        <f>IF('GR&amp;R VAR(Tol)'!D25&lt;&gt;"",'GR&amp;R VAR(Tol)'!D25,"")</f>
        <v/>
      </c>
      <c r="E25" s="367" t="str">
        <f>IF('GR&amp;R VAR(Tol)'!E25&lt;&gt;"",'GR&amp;R VAR(Tol)'!E25,"")</f>
        <v/>
      </c>
      <c r="F25" s="367" t="str">
        <f>IF('GR&amp;R VAR(Tol)'!F25&lt;&gt;"",'GR&amp;R VAR(Tol)'!F25,"")</f>
        <v/>
      </c>
      <c r="G25" s="367" t="str">
        <f>IF('GR&amp;R VAR(Tol)'!G25&lt;&gt;"",'GR&amp;R VAR(Tol)'!G25,"")</f>
        <v/>
      </c>
      <c r="H25" s="367" t="str">
        <f>IF('GR&amp;R VAR(Tol)'!H25&lt;&gt;"",'GR&amp;R VAR(Tol)'!H25,"")</f>
        <v/>
      </c>
      <c r="I25" s="367" t="str">
        <f>IF('GR&amp;R VAR(Tol)'!I25&lt;&gt;"",'GR&amp;R VAR(Tol)'!I25,"")</f>
        <v/>
      </c>
      <c r="J25" s="367" t="str">
        <f>IF('GR&amp;R VAR(Tol)'!J25&lt;&gt;"",'GR&amp;R VAR(Tol)'!J25,"")</f>
        <v/>
      </c>
      <c r="K25" s="367" t="str">
        <f>IF('GR&amp;R VAR(Tol)'!K25&lt;&gt;"",'GR&amp;R VAR(Tol)'!K25,"")</f>
        <v/>
      </c>
      <c r="L25" s="367" t="str">
        <f>IF('GR&amp;R VAR(Tol)'!L25&lt;&gt;"",'GR&amp;R VAR(Tol)'!L25,"")</f>
        <v/>
      </c>
      <c r="M25" s="113"/>
      <c r="N25" s="368" t="str">
        <f t="shared" si="0"/>
        <v/>
      </c>
    </row>
    <row r="26" spans="1:14" ht="18" customHeight="1">
      <c r="A26" s="371">
        <f>A25+1</f>
        <v>8</v>
      </c>
      <c r="B26" s="321">
        <v>3</v>
      </c>
      <c r="C26" s="437" t="str">
        <f>IF('GR&amp;R VAR(Tol)'!C26&lt;&gt;"",'GR&amp;R VAR(Tol)'!C26,"")</f>
        <v/>
      </c>
      <c r="D26" s="437" t="str">
        <f>IF('GR&amp;R VAR(Tol)'!D26&lt;&gt;"",'GR&amp;R VAR(Tol)'!D26,"")</f>
        <v/>
      </c>
      <c r="E26" s="437" t="str">
        <f>IF('GR&amp;R VAR(Tol)'!E26&lt;&gt;"",'GR&amp;R VAR(Tol)'!E26,"")</f>
        <v/>
      </c>
      <c r="F26" s="437" t="str">
        <f>IF('GR&amp;R VAR(Tol)'!F26&lt;&gt;"",'GR&amp;R VAR(Tol)'!F26,"")</f>
        <v/>
      </c>
      <c r="G26" s="437" t="str">
        <f>IF('GR&amp;R VAR(Tol)'!G26&lt;&gt;"",'GR&amp;R VAR(Tol)'!G26,"")</f>
        <v/>
      </c>
      <c r="H26" s="437" t="str">
        <f>IF('GR&amp;R VAR(Tol)'!H26&lt;&gt;"",'GR&amp;R VAR(Tol)'!H26,"")</f>
        <v/>
      </c>
      <c r="I26" s="437" t="str">
        <f>IF('GR&amp;R VAR(Tol)'!I26&lt;&gt;"",'GR&amp;R VAR(Tol)'!I26,"")</f>
        <v/>
      </c>
      <c r="J26" s="437" t="str">
        <f>IF('GR&amp;R VAR(Tol)'!J26&lt;&gt;"",'GR&amp;R VAR(Tol)'!J26,"")</f>
        <v/>
      </c>
      <c r="K26" s="437" t="str">
        <f>IF('GR&amp;R VAR(Tol)'!K26&lt;&gt;"",'GR&amp;R VAR(Tol)'!K26,"")</f>
        <v/>
      </c>
      <c r="L26" s="437" t="str">
        <f>IF('GR&amp;R VAR(Tol)'!L26&lt;&gt;"",'GR&amp;R VAR(Tol)'!L26,"")</f>
        <v/>
      </c>
      <c r="M26" s="113"/>
      <c r="N26" s="368" t="str">
        <f t="shared" si="0"/>
        <v/>
      </c>
    </row>
    <row r="27" spans="1:14" ht="18" customHeight="1">
      <c r="A27" s="371">
        <f>A26+1</f>
        <v>9</v>
      </c>
      <c r="B27" s="321" t="s">
        <v>468</v>
      </c>
      <c r="C27" s="376" t="str">
        <f t="shared" ref="C27:L27" si="3">IF(C24&lt;&gt;"",SUM(C24:C26)/COUNT(C24:C26),"")</f>
        <v/>
      </c>
      <c r="D27" s="376" t="str">
        <f t="shared" si="3"/>
        <v/>
      </c>
      <c r="E27" s="376" t="str">
        <f t="shared" si="3"/>
        <v/>
      </c>
      <c r="F27" s="376" t="str">
        <f t="shared" si="3"/>
        <v/>
      </c>
      <c r="G27" s="376" t="str">
        <f t="shared" si="3"/>
        <v/>
      </c>
      <c r="H27" s="376" t="str">
        <f t="shared" si="3"/>
        <v/>
      </c>
      <c r="I27" s="376" t="str">
        <f t="shared" si="3"/>
        <v/>
      </c>
      <c r="J27" s="376" t="str">
        <f t="shared" si="3"/>
        <v/>
      </c>
      <c r="K27" s="376" t="str">
        <f t="shared" si="3"/>
        <v/>
      </c>
      <c r="L27" s="376" t="str">
        <f t="shared" si="3"/>
        <v/>
      </c>
      <c r="M27" s="377" t="s">
        <v>651</v>
      </c>
      <c r="N27" s="368" t="str">
        <f t="shared" si="0"/>
        <v/>
      </c>
    </row>
    <row r="28" spans="1:14" ht="18" customHeight="1" thickBot="1">
      <c r="A28" s="378">
        <f>A27+1</f>
        <v>10</v>
      </c>
      <c r="B28" s="379" t="s">
        <v>160</v>
      </c>
      <c r="C28" s="380" t="str">
        <f t="shared" ref="C28:L28" si="4">IF(C24&lt;&gt;"",MAX(C24:C26)-MIN(C24:C26),"")</f>
        <v/>
      </c>
      <c r="D28" s="380" t="str">
        <f t="shared" si="4"/>
        <v/>
      </c>
      <c r="E28" s="380" t="str">
        <f t="shared" si="4"/>
        <v/>
      </c>
      <c r="F28" s="380" t="str">
        <f t="shared" si="4"/>
        <v/>
      </c>
      <c r="G28" s="380" t="str">
        <f t="shared" si="4"/>
        <v/>
      </c>
      <c r="H28" s="380" t="str">
        <f t="shared" si="4"/>
        <v/>
      </c>
      <c r="I28" s="380" t="str">
        <f t="shared" si="4"/>
        <v/>
      </c>
      <c r="J28" s="380" t="str">
        <f t="shared" si="4"/>
        <v/>
      </c>
      <c r="K28" s="380" t="str">
        <f t="shared" si="4"/>
        <v/>
      </c>
      <c r="L28" s="380" t="str">
        <f t="shared" si="4"/>
        <v/>
      </c>
      <c r="M28" s="381" t="s">
        <v>653</v>
      </c>
      <c r="N28" s="368" t="str">
        <f t="shared" si="0"/>
        <v/>
      </c>
    </row>
    <row r="29" spans="1:14" ht="18" customHeight="1">
      <c r="A29" s="356" t="s">
        <v>478</v>
      </c>
      <c r="B29" s="357">
        <v>1</v>
      </c>
      <c r="C29" s="436" t="str">
        <f>IF('GR&amp;R VAR(Tol)'!C29&lt;&gt;"",'GR&amp;R VAR(Tol)'!C29,"")</f>
        <v/>
      </c>
      <c r="D29" s="436" t="str">
        <f>IF('GR&amp;R VAR(Tol)'!D29&lt;&gt;"",'GR&amp;R VAR(Tol)'!D29,"")</f>
        <v/>
      </c>
      <c r="E29" s="436" t="str">
        <f>IF('GR&amp;R VAR(Tol)'!E29&lt;&gt;"",'GR&amp;R VAR(Tol)'!E29,"")</f>
        <v/>
      </c>
      <c r="F29" s="436" t="str">
        <f>IF('GR&amp;R VAR(Tol)'!F29&lt;&gt;"",'GR&amp;R VAR(Tol)'!F29,"")</f>
        <v/>
      </c>
      <c r="G29" s="436" t="str">
        <f>IF('GR&amp;R VAR(Tol)'!G29&lt;&gt;"",'GR&amp;R VAR(Tol)'!G29,"")</f>
        <v/>
      </c>
      <c r="H29" s="436" t="str">
        <f>IF('GR&amp;R VAR(Tol)'!H29&lt;&gt;"",'GR&amp;R VAR(Tol)'!H29,"")</f>
        <v/>
      </c>
      <c r="I29" s="436" t="str">
        <f>IF('GR&amp;R VAR(Tol)'!I29&lt;&gt;"",'GR&amp;R VAR(Tol)'!I29,"")</f>
        <v/>
      </c>
      <c r="J29" s="436" t="str">
        <f>IF('GR&amp;R VAR(Tol)'!J29&lt;&gt;"",'GR&amp;R VAR(Tol)'!J29,"")</f>
        <v/>
      </c>
      <c r="K29" s="436" t="str">
        <f>IF('GR&amp;R VAR(Tol)'!K29&lt;&gt;"",'GR&amp;R VAR(Tol)'!K29,"")</f>
        <v/>
      </c>
      <c r="L29" s="436" t="str">
        <f>IF('GR&amp;R VAR(Tol)'!L29&lt;&gt;"",'GR&amp;R VAR(Tol)'!L29,"")</f>
        <v/>
      </c>
      <c r="M29" s="359"/>
      <c r="N29" s="360" t="str">
        <f t="shared" si="0"/>
        <v/>
      </c>
    </row>
    <row r="30" spans="1:14" ht="18" customHeight="1">
      <c r="A30" s="371">
        <v>12</v>
      </c>
      <c r="B30" s="325">
        <v>2</v>
      </c>
      <c r="C30" s="367" t="str">
        <f>IF('GR&amp;R VAR(Tol)'!C30&lt;&gt;"",'GR&amp;R VAR(Tol)'!C30,"")</f>
        <v/>
      </c>
      <c r="D30" s="367" t="str">
        <f>IF('GR&amp;R VAR(Tol)'!D30&lt;&gt;"",'GR&amp;R VAR(Tol)'!D30,"")</f>
        <v/>
      </c>
      <c r="E30" s="367" t="str">
        <f>IF('GR&amp;R VAR(Tol)'!E30&lt;&gt;"",'GR&amp;R VAR(Tol)'!E30,"")</f>
        <v/>
      </c>
      <c r="F30" s="367" t="str">
        <f>IF('GR&amp;R VAR(Tol)'!F30&lt;&gt;"",'GR&amp;R VAR(Tol)'!F30,"")</f>
        <v/>
      </c>
      <c r="G30" s="367" t="str">
        <f>IF('GR&amp;R VAR(Tol)'!G30&lt;&gt;"",'GR&amp;R VAR(Tol)'!G30,"")</f>
        <v/>
      </c>
      <c r="H30" s="367" t="str">
        <f>IF('GR&amp;R VAR(Tol)'!H30&lt;&gt;"",'GR&amp;R VAR(Tol)'!H30,"")</f>
        <v/>
      </c>
      <c r="I30" s="367" t="str">
        <f>IF('GR&amp;R VAR(Tol)'!I30&lt;&gt;"",'GR&amp;R VAR(Tol)'!I30,"")</f>
        <v/>
      </c>
      <c r="J30" s="367" t="str">
        <f>IF('GR&amp;R VAR(Tol)'!J30&lt;&gt;"",'GR&amp;R VAR(Tol)'!J30,"")</f>
        <v/>
      </c>
      <c r="K30" s="367" t="str">
        <f>IF('GR&amp;R VAR(Tol)'!K30&lt;&gt;"",'GR&amp;R VAR(Tol)'!K30,"")</f>
        <v/>
      </c>
      <c r="L30" s="367" t="str">
        <f>IF('GR&amp;R VAR(Tol)'!L30&lt;&gt;"",'GR&amp;R VAR(Tol)'!L30,"")</f>
        <v/>
      </c>
      <c r="M30" s="113"/>
      <c r="N30" s="368" t="str">
        <f t="shared" si="0"/>
        <v/>
      </c>
    </row>
    <row r="31" spans="1:14" ht="18" customHeight="1">
      <c r="A31" s="371">
        <f>A30+1</f>
        <v>13</v>
      </c>
      <c r="B31" s="321">
        <v>3</v>
      </c>
      <c r="C31" s="437" t="str">
        <f>IF('GR&amp;R VAR(Tol)'!C31&lt;&gt;"",'GR&amp;R VAR(Tol)'!C31,"")</f>
        <v/>
      </c>
      <c r="D31" s="437" t="str">
        <f>IF('GR&amp;R VAR(Tol)'!D31&lt;&gt;"",'GR&amp;R VAR(Tol)'!D31,"")</f>
        <v/>
      </c>
      <c r="E31" s="437" t="str">
        <f>IF('GR&amp;R VAR(Tol)'!E31&lt;&gt;"",'GR&amp;R VAR(Tol)'!E31,"")</f>
        <v/>
      </c>
      <c r="F31" s="437" t="str">
        <f>IF('GR&amp;R VAR(Tol)'!F31&lt;&gt;"",'GR&amp;R VAR(Tol)'!F31,"")</f>
        <v/>
      </c>
      <c r="G31" s="437" t="str">
        <f>IF('GR&amp;R VAR(Tol)'!G31&lt;&gt;"",'GR&amp;R VAR(Tol)'!G31,"")</f>
        <v/>
      </c>
      <c r="H31" s="437" t="str">
        <f>IF('GR&amp;R VAR(Tol)'!H31&lt;&gt;"",'GR&amp;R VAR(Tol)'!H31,"")</f>
        <v/>
      </c>
      <c r="I31" s="437" t="str">
        <f>IF('GR&amp;R VAR(Tol)'!I31&lt;&gt;"",'GR&amp;R VAR(Tol)'!I31,"")</f>
        <v/>
      </c>
      <c r="J31" s="437" t="str">
        <f>IF('GR&amp;R VAR(Tol)'!J31&lt;&gt;"",'GR&amp;R VAR(Tol)'!J31,"")</f>
        <v/>
      </c>
      <c r="K31" s="437" t="str">
        <f>IF('GR&amp;R VAR(Tol)'!K31&lt;&gt;"",'GR&amp;R VAR(Tol)'!K31,"")</f>
        <v/>
      </c>
      <c r="L31" s="437" t="str">
        <f>IF('GR&amp;R VAR(Tol)'!L31&lt;&gt;"",'GR&amp;R VAR(Tol)'!L31,"")</f>
        <v/>
      </c>
      <c r="M31" s="113"/>
      <c r="N31" s="368" t="str">
        <f t="shared" si="0"/>
        <v/>
      </c>
    </row>
    <row r="32" spans="1:14" ht="18" customHeight="1">
      <c r="A32" s="371">
        <f>A31+1</f>
        <v>14</v>
      </c>
      <c r="B32" s="321" t="s">
        <v>468</v>
      </c>
      <c r="C32" s="376" t="str">
        <f t="shared" ref="C32:L32" si="5">IF(C29&lt;&gt;"",SUM(C29:C31)/COUNT(C29:C31),"")</f>
        <v/>
      </c>
      <c r="D32" s="376" t="str">
        <f t="shared" si="5"/>
        <v/>
      </c>
      <c r="E32" s="376" t="str">
        <f t="shared" si="5"/>
        <v/>
      </c>
      <c r="F32" s="376" t="str">
        <f t="shared" si="5"/>
        <v/>
      </c>
      <c r="G32" s="376" t="str">
        <f t="shared" si="5"/>
        <v/>
      </c>
      <c r="H32" s="376" t="str">
        <f t="shared" si="5"/>
        <v/>
      </c>
      <c r="I32" s="376" t="str">
        <f t="shared" si="5"/>
        <v/>
      </c>
      <c r="J32" s="376" t="str">
        <f t="shared" si="5"/>
        <v/>
      </c>
      <c r="K32" s="376" t="str">
        <f t="shared" si="5"/>
        <v/>
      </c>
      <c r="L32" s="376" t="str">
        <f t="shared" si="5"/>
        <v/>
      </c>
      <c r="M32" s="377" t="s">
        <v>656</v>
      </c>
      <c r="N32" s="368" t="str">
        <f t="shared" si="0"/>
        <v/>
      </c>
    </row>
    <row r="33" spans="1:26" ht="18" customHeight="1" thickBot="1">
      <c r="A33" s="378">
        <f>A32+1</f>
        <v>15</v>
      </c>
      <c r="B33" s="379" t="s">
        <v>160</v>
      </c>
      <c r="C33" s="380" t="str">
        <f t="shared" ref="C33:L33" si="6">IF(C29&lt;&gt;"",MAX(C29:C31)-MIN(C29:C31),"")</f>
        <v/>
      </c>
      <c r="D33" s="380" t="str">
        <f t="shared" si="6"/>
        <v/>
      </c>
      <c r="E33" s="380" t="str">
        <f t="shared" si="6"/>
        <v/>
      </c>
      <c r="F33" s="380" t="str">
        <f t="shared" si="6"/>
        <v/>
      </c>
      <c r="G33" s="380" t="str">
        <f t="shared" si="6"/>
        <v/>
      </c>
      <c r="H33" s="380" t="str">
        <f t="shared" si="6"/>
        <v/>
      </c>
      <c r="I33" s="380" t="str">
        <f t="shared" si="6"/>
        <v/>
      </c>
      <c r="J33" s="380" t="str">
        <f t="shared" si="6"/>
        <v/>
      </c>
      <c r="K33" s="380" t="str">
        <f t="shared" si="6"/>
        <v/>
      </c>
      <c r="L33" s="380" t="str">
        <f t="shared" si="6"/>
        <v/>
      </c>
      <c r="M33" s="381" t="s">
        <v>657</v>
      </c>
      <c r="N33" s="438" t="str">
        <f t="shared" si="0"/>
        <v/>
      </c>
    </row>
    <row r="34" spans="1:26" ht="15">
      <c r="A34" s="393" t="s">
        <v>484</v>
      </c>
      <c r="B34" s="199"/>
      <c r="C34" s="394"/>
      <c r="D34" s="394"/>
      <c r="E34" s="394"/>
      <c r="F34" s="394"/>
      <c r="G34" s="394"/>
      <c r="H34" s="394"/>
      <c r="I34" s="394"/>
      <c r="J34" s="394"/>
      <c r="K34" s="394"/>
      <c r="L34" s="394"/>
      <c r="M34" s="395" t="s">
        <v>485</v>
      </c>
      <c r="N34" s="396" t="str">
        <f>IF(C19&lt;&gt;"",AVERAGE(C35:L35),"")</f>
        <v/>
      </c>
    </row>
    <row r="35" spans="1:26" ht="16.5" thickBot="1">
      <c r="A35" s="397" t="s">
        <v>550</v>
      </c>
      <c r="B35" s="351"/>
      <c r="C35" s="398" t="str">
        <f t="shared" ref="C35:L35" si="7">IF(C22&lt;&gt;"",SUM(C22,C27,C32)/COUNT(C22,C27,C32),"")</f>
        <v/>
      </c>
      <c r="D35" s="398" t="str">
        <f t="shared" si="7"/>
        <v/>
      </c>
      <c r="E35" s="398" t="str">
        <f t="shared" si="7"/>
        <v/>
      </c>
      <c r="F35" s="398" t="str">
        <f t="shared" si="7"/>
        <v/>
      </c>
      <c r="G35" s="398" t="str">
        <f t="shared" si="7"/>
        <v/>
      </c>
      <c r="H35" s="398" t="str">
        <f t="shared" si="7"/>
        <v/>
      </c>
      <c r="I35" s="398" t="str">
        <f t="shared" si="7"/>
        <v/>
      </c>
      <c r="J35" s="398" t="str">
        <f t="shared" si="7"/>
        <v/>
      </c>
      <c r="K35" s="398" t="str">
        <f t="shared" si="7"/>
        <v/>
      </c>
      <c r="L35" s="398" t="str">
        <f t="shared" si="7"/>
        <v/>
      </c>
      <c r="M35" s="399" t="s">
        <v>659</v>
      </c>
      <c r="N35" s="400" t="str">
        <f>IF(C19&lt;&gt;"",MAX(C35:L35)-MIN(C35:L35),"")</f>
        <v/>
      </c>
    </row>
    <row r="38" spans="1:26">
      <c r="A38" s="1" t="s">
        <v>544</v>
      </c>
      <c r="B38" s="439" t="s">
        <v>551</v>
      </c>
    </row>
    <row r="43" spans="1:26">
      <c r="P43" s="1" t="s">
        <v>552</v>
      </c>
    </row>
    <row r="44" spans="1:26">
      <c r="Q44" s="270">
        <v>1</v>
      </c>
      <c r="R44" s="270">
        <v>2</v>
      </c>
      <c r="S44" s="270">
        <v>3</v>
      </c>
      <c r="T44" s="270">
        <v>4</v>
      </c>
      <c r="U44" s="270">
        <v>5</v>
      </c>
      <c r="V44" s="270">
        <v>6</v>
      </c>
      <c r="W44" s="270">
        <v>7</v>
      </c>
      <c r="X44" s="270">
        <v>8</v>
      </c>
      <c r="Y44" s="270">
        <v>9</v>
      </c>
      <c r="Z44" s="270">
        <v>10</v>
      </c>
    </row>
    <row r="45" spans="1:26">
      <c r="P45" s="440" t="s">
        <v>553</v>
      </c>
      <c r="Q45" s="440" t="str">
        <f>$E$13</f>
        <v>Upper</v>
      </c>
      <c r="R45" s="440" t="str">
        <f t="shared" ref="R45:Z45" si="8">$Q$45</f>
        <v>Upper</v>
      </c>
      <c r="S45" s="440" t="str">
        <f t="shared" si="8"/>
        <v>Upper</v>
      </c>
      <c r="T45" s="440" t="str">
        <f t="shared" si="8"/>
        <v>Upper</v>
      </c>
      <c r="U45" s="440" t="str">
        <f t="shared" si="8"/>
        <v>Upper</v>
      </c>
      <c r="V45" s="440" t="str">
        <f t="shared" si="8"/>
        <v>Upper</v>
      </c>
      <c r="W45" s="440" t="str">
        <f t="shared" si="8"/>
        <v>Upper</v>
      </c>
      <c r="X45" s="440" t="str">
        <f t="shared" si="8"/>
        <v>Upper</v>
      </c>
      <c r="Y45" s="440" t="str">
        <f t="shared" si="8"/>
        <v>Upper</v>
      </c>
      <c r="Z45" s="440" t="str">
        <f t="shared" si="8"/>
        <v>Upper</v>
      </c>
    </row>
    <row r="46" spans="1:26">
      <c r="P46" s="440" t="s">
        <v>554</v>
      </c>
      <c r="Q46" s="440" t="str">
        <f>$D$13</f>
        <v>Lower</v>
      </c>
      <c r="R46" s="440" t="str">
        <f t="shared" ref="R46:Z46" si="9">$Q$46</f>
        <v>Lower</v>
      </c>
      <c r="S46" s="440" t="str">
        <f t="shared" si="9"/>
        <v>Lower</v>
      </c>
      <c r="T46" s="440" t="str">
        <f t="shared" si="9"/>
        <v>Lower</v>
      </c>
      <c r="U46" s="440" t="str">
        <f t="shared" si="9"/>
        <v>Lower</v>
      </c>
      <c r="V46" s="440" t="str">
        <f t="shared" si="9"/>
        <v>Lower</v>
      </c>
      <c r="W46" s="440" t="str">
        <f t="shared" si="9"/>
        <v>Lower</v>
      </c>
      <c r="X46" s="440" t="str">
        <f t="shared" si="9"/>
        <v>Lower</v>
      </c>
      <c r="Y46" s="440" t="str">
        <f t="shared" si="9"/>
        <v>Lower</v>
      </c>
      <c r="Z46" s="440" t="str">
        <f t="shared" si="9"/>
        <v>Lower</v>
      </c>
    </row>
    <row r="47" spans="1:26">
      <c r="P47" s="440" t="s">
        <v>555</v>
      </c>
      <c r="Q47" s="441" t="e">
        <f>IF(F15=3,2.58*(N23+N28+N33)/J15,3.27*(N23+N28+N33)/3)</f>
        <v>#VALUE!</v>
      </c>
      <c r="R47" s="442" t="e">
        <f t="shared" ref="R47:Z47" si="10">$Q$47</f>
        <v>#VALUE!</v>
      </c>
      <c r="S47" s="442" t="e">
        <f t="shared" si="10"/>
        <v>#VALUE!</v>
      </c>
      <c r="T47" s="442" t="e">
        <f t="shared" si="10"/>
        <v>#VALUE!</v>
      </c>
      <c r="U47" s="442" t="e">
        <f t="shared" si="10"/>
        <v>#VALUE!</v>
      </c>
      <c r="V47" s="442" t="e">
        <f t="shared" si="10"/>
        <v>#VALUE!</v>
      </c>
      <c r="W47" s="442" t="e">
        <f t="shared" si="10"/>
        <v>#VALUE!</v>
      </c>
      <c r="X47" s="442" t="e">
        <f t="shared" si="10"/>
        <v>#VALUE!</v>
      </c>
      <c r="Y47" s="442" t="e">
        <f t="shared" si="10"/>
        <v>#VALUE!</v>
      </c>
      <c r="Z47" s="442" t="e">
        <f t="shared" si="10"/>
        <v>#VALUE!</v>
      </c>
    </row>
    <row r="58" spans="2:13">
      <c r="B58" s="1" t="s">
        <v>556</v>
      </c>
      <c r="D58" s="113"/>
      <c r="E58" s="113"/>
      <c r="F58" s="113"/>
      <c r="G58" s="113"/>
      <c r="H58" s="113"/>
      <c r="I58" s="113"/>
      <c r="J58" s="113"/>
      <c r="K58" s="113"/>
      <c r="L58" s="113"/>
      <c r="M58" s="113"/>
    </row>
    <row r="59" spans="2:13">
      <c r="D59" s="225"/>
      <c r="E59" s="225"/>
      <c r="F59" s="225"/>
      <c r="G59" s="225"/>
      <c r="H59" s="225"/>
      <c r="I59" s="225"/>
      <c r="J59" s="225"/>
      <c r="K59" s="225"/>
      <c r="L59" s="225"/>
      <c r="M59" s="225"/>
    </row>
    <row r="80" spans="2:13">
      <c r="B80" s="1" t="s">
        <v>556</v>
      </c>
      <c r="D80" s="113"/>
      <c r="E80" s="113"/>
      <c r="F80" s="113"/>
      <c r="G80" s="113"/>
      <c r="H80" s="113"/>
      <c r="I80" s="113"/>
      <c r="J80" s="113"/>
      <c r="K80" s="113"/>
      <c r="L80" s="113"/>
      <c r="M80" s="113"/>
    </row>
    <row r="81" spans="4:46">
      <c r="D81" s="225"/>
      <c r="E81" s="225"/>
      <c r="F81" s="225"/>
      <c r="G81" s="225"/>
      <c r="H81" s="225"/>
      <c r="I81" s="225"/>
      <c r="J81" s="225"/>
      <c r="K81" s="225"/>
      <c r="L81" s="225"/>
      <c r="M81" s="225"/>
    </row>
    <row r="84" spans="4:46">
      <c r="P84" s="1" t="s">
        <v>557</v>
      </c>
    </row>
    <row r="85" spans="4:46">
      <c r="Q85" s="1" t="s">
        <v>519</v>
      </c>
      <c r="AA85" s="1" t="s">
        <v>524</v>
      </c>
      <c r="AK85" s="1" t="s">
        <v>527</v>
      </c>
    </row>
    <row r="86" spans="4:46">
      <c r="Q86" s="363">
        <v>1</v>
      </c>
      <c r="R86" s="363">
        <v>2</v>
      </c>
      <c r="S86" s="363">
        <v>3</v>
      </c>
      <c r="T86" s="363">
        <v>4</v>
      </c>
      <c r="U86" s="363">
        <v>5</v>
      </c>
      <c r="V86" s="363">
        <v>6</v>
      </c>
      <c r="W86" s="363">
        <v>7</v>
      </c>
      <c r="X86" s="363">
        <v>8</v>
      </c>
      <c r="Y86" s="363">
        <v>9</v>
      </c>
      <c r="Z86" s="363">
        <v>10</v>
      </c>
      <c r="AA86" s="363">
        <v>1</v>
      </c>
      <c r="AB86" s="363">
        <v>2</v>
      </c>
      <c r="AC86" s="363">
        <v>3</v>
      </c>
      <c r="AD86" s="363">
        <v>4</v>
      </c>
      <c r="AE86" s="363">
        <v>5</v>
      </c>
      <c r="AF86" s="363">
        <v>6</v>
      </c>
      <c r="AG86" s="363">
        <v>7</v>
      </c>
      <c r="AH86" s="363">
        <v>8</v>
      </c>
      <c r="AI86" s="363">
        <v>9</v>
      </c>
      <c r="AJ86" s="363">
        <v>10</v>
      </c>
      <c r="AK86" s="363">
        <v>1</v>
      </c>
      <c r="AL86" s="363">
        <v>2</v>
      </c>
      <c r="AM86" s="363">
        <v>3</v>
      </c>
      <c r="AN86" s="363">
        <v>4</v>
      </c>
      <c r="AO86" s="363">
        <v>5</v>
      </c>
      <c r="AP86" s="363">
        <v>6</v>
      </c>
      <c r="AQ86" s="363">
        <v>7</v>
      </c>
      <c r="AR86" s="363">
        <v>8</v>
      </c>
      <c r="AS86" s="363">
        <v>9</v>
      </c>
      <c r="AT86" s="363">
        <v>10</v>
      </c>
    </row>
    <row r="87" spans="4:46">
      <c r="P87" s="1" t="s">
        <v>558</v>
      </c>
      <c r="Q87" s="421" t="str">
        <f t="shared" ref="Q87:Z88" si="11">C22</f>
        <v/>
      </c>
      <c r="R87" s="421" t="str">
        <f t="shared" si="11"/>
        <v/>
      </c>
      <c r="S87" s="421" t="str">
        <f t="shared" si="11"/>
        <v/>
      </c>
      <c r="T87" s="421" t="str">
        <f t="shared" si="11"/>
        <v/>
      </c>
      <c r="U87" s="421" t="str">
        <f t="shared" si="11"/>
        <v/>
      </c>
      <c r="V87" s="421" t="str">
        <f t="shared" si="11"/>
        <v/>
      </c>
      <c r="W87" s="421" t="str">
        <f t="shared" si="11"/>
        <v/>
      </c>
      <c r="X87" s="421" t="str">
        <f t="shared" si="11"/>
        <v/>
      </c>
      <c r="Y87" s="421" t="str">
        <f t="shared" si="11"/>
        <v/>
      </c>
      <c r="Z87" s="421" t="str">
        <f t="shared" si="11"/>
        <v/>
      </c>
      <c r="AA87" s="421" t="str">
        <f t="shared" ref="AA87:AJ88" si="12">C27</f>
        <v/>
      </c>
      <c r="AB87" s="421" t="str">
        <f t="shared" si="12"/>
        <v/>
      </c>
      <c r="AC87" s="421" t="str">
        <f t="shared" si="12"/>
        <v/>
      </c>
      <c r="AD87" s="421" t="str">
        <f t="shared" si="12"/>
        <v/>
      </c>
      <c r="AE87" s="421" t="str">
        <f t="shared" si="12"/>
        <v/>
      </c>
      <c r="AF87" s="421" t="str">
        <f t="shared" si="12"/>
        <v/>
      </c>
      <c r="AG87" s="421" t="str">
        <f t="shared" si="12"/>
        <v/>
      </c>
      <c r="AH87" s="421" t="str">
        <f t="shared" si="12"/>
        <v/>
      </c>
      <c r="AI87" s="421" t="str">
        <f t="shared" si="12"/>
        <v/>
      </c>
      <c r="AJ87" s="421" t="str">
        <f t="shared" si="12"/>
        <v/>
      </c>
      <c r="AK87" s="421" t="str">
        <f t="shared" ref="AK87:AT88" si="13">C32</f>
        <v/>
      </c>
      <c r="AL87" s="421" t="str">
        <f t="shared" si="13"/>
        <v/>
      </c>
      <c r="AM87" s="421" t="str">
        <f t="shared" si="13"/>
        <v/>
      </c>
      <c r="AN87" s="421" t="str">
        <f t="shared" si="13"/>
        <v/>
      </c>
      <c r="AO87" s="421" t="str">
        <f t="shared" si="13"/>
        <v/>
      </c>
      <c r="AP87" s="421" t="str">
        <f t="shared" si="13"/>
        <v/>
      </c>
      <c r="AQ87" s="421" t="str">
        <f t="shared" si="13"/>
        <v/>
      </c>
      <c r="AR87" s="421" t="str">
        <f t="shared" si="13"/>
        <v/>
      </c>
      <c r="AS87" s="421" t="str">
        <f t="shared" si="13"/>
        <v/>
      </c>
      <c r="AT87" s="421" t="str">
        <f t="shared" si="13"/>
        <v/>
      </c>
    </row>
    <row r="88" spans="4:46">
      <c r="P88" s="1" t="s">
        <v>559</v>
      </c>
      <c r="Q88" s="421" t="str">
        <f t="shared" si="11"/>
        <v/>
      </c>
      <c r="R88" s="421" t="str">
        <f t="shared" si="11"/>
        <v/>
      </c>
      <c r="S88" s="421" t="str">
        <f t="shared" si="11"/>
        <v/>
      </c>
      <c r="T88" s="421" t="str">
        <f t="shared" si="11"/>
        <v/>
      </c>
      <c r="U88" s="421" t="str">
        <f t="shared" si="11"/>
        <v/>
      </c>
      <c r="V88" s="421" t="str">
        <f t="shared" si="11"/>
        <v/>
      </c>
      <c r="W88" s="421" t="str">
        <f t="shared" si="11"/>
        <v/>
      </c>
      <c r="X88" s="421" t="str">
        <f t="shared" si="11"/>
        <v/>
      </c>
      <c r="Y88" s="421" t="str">
        <f t="shared" si="11"/>
        <v/>
      </c>
      <c r="Z88" s="421" t="str">
        <f t="shared" si="11"/>
        <v/>
      </c>
      <c r="AA88" s="421" t="str">
        <f t="shared" si="12"/>
        <v/>
      </c>
      <c r="AB88" s="421" t="str">
        <f t="shared" si="12"/>
        <v/>
      </c>
      <c r="AC88" s="421" t="str">
        <f t="shared" si="12"/>
        <v/>
      </c>
      <c r="AD88" s="421" t="str">
        <f t="shared" si="12"/>
        <v/>
      </c>
      <c r="AE88" s="421" t="str">
        <f t="shared" si="12"/>
        <v/>
      </c>
      <c r="AF88" s="421" t="str">
        <f t="shared" si="12"/>
        <v/>
      </c>
      <c r="AG88" s="421" t="str">
        <f t="shared" si="12"/>
        <v/>
      </c>
      <c r="AH88" s="421" t="str">
        <f t="shared" si="12"/>
        <v/>
      </c>
      <c r="AI88" s="421" t="str">
        <f t="shared" si="12"/>
        <v/>
      </c>
      <c r="AJ88" s="421" t="str">
        <f t="shared" si="12"/>
        <v/>
      </c>
      <c r="AK88" s="421" t="str">
        <f t="shared" si="13"/>
        <v/>
      </c>
      <c r="AL88" s="421" t="str">
        <f t="shared" si="13"/>
        <v/>
      </c>
      <c r="AM88" s="421" t="str">
        <f t="shared" si="13"/>
        <v/>
      </c>
      <c r="AN88" s="421" t="str">
        <f t="shared" si="13"/>
        <v/>
      </c>
      <c r="AO88" s="421" t="str">
        <f t="shared" si="13"/>
        <v/>
      </c>
      <c r="AP88" s="421" t="str">
        <f t="shared" si="13"/>
        <v/>
      </c>
      <c r="AQ88" s="421" t="str">
        <f t="shared" si="13"/>
        <v/>
      </c>
      <c r="AR88" s="421" t="str">
        <f t="shared" si="13"/>
        <v/>
      </c>
      <c r="AS88" s="421" t="str">
        <f t="shared" si="13"/>
        <v/>
      </c>
      <c r="AT88" s="421" t="str">
        <f t="shared" si="13"/>
        <v/>
      </c>
    </row>
    <row r="89" spans="4:46">
      <c r="P89" s="1" t="s">
        <v>560</v>
      </c>
      <c r="AA89" s="1" t="str">
        <f t="shared" ref="AA89:AJ90" si="14">Q45</f>
        <v>Upper</v>
      </c>
      <c r="AB89" s="1" t="str">
        <f t="shared" si="14"/>
        <v>Upper</v>
      </c>
      <c r="AC89" s="1" t="str">
        <f t="shared" si="14"/>
        <v>Upper</v>
      </c>
      <c r="AD89" s="1" t="str">
        <f t="shared" si="14"/>
        <v>Upper</v>
      </c>
      <c r="AE89" s="1" t="str">
        <f t="shared" si="14"/>
        <v>Upper</v>
      </c>
      <c r="AF89" s="1" t="str">
        <f t="shared" si="14"/>
        <v>Upper</v>
      </c>
      <c r="AG89" s="1" t="str">
        <f t="shared" si="14"/>
        <v>Upper</v>
      </c>
      <c r="AH89" s="1" t="str">
        <f t="shared" si="14"/>
        <v>Upper</v>
      </c>
      <c r="AI89" s="1" t="str">
        <f t="shared" si="14"/>
        <v>Upper</v>
      </c>
      <c r="AJ89" s="1" t="str">
        <f t="shared" si="14"/>
        <v>Upper</v>
      </c>
    </row>
    <row r="90" spans="4:46">
      <c r="P90" s="1" t="s">
        <v>561</v>
      </c>
      <c r="AA90" s="1" t="str">
        <f t="shared" si="14"/>
        <v>Lower</v>
      </c>
      <c r="AB90" s="1" t="str">
        <f t="shared" si="14"/>
        <v>Lower</v>
      </c>
      <c r="AC90" s="1" t="str">
        <f t="shared" si="14"/>
        <v>Lower</v>
      </c>
      <c r="AD90" s="1" t="str">
        <f t="shared" si="14"/>
        <v>Lower</v>
      </c>
      <c r="AE90" s="1" t="str">
        <f t="shared" si="14"/>
        <v>Lower</v>
      </c>
      <c r="AF90" s="1" t="str">
        <f t="shared" si="14"/>
        <v>Lower</v>
      </c>
      <c r="AG90" s="1" t="str">
        <f t="shared" si="14"/>
        <v>Lower</v>
      </c>
      <c r="AH90" s="1" t="str">
        <f t="shared" si="14"/>
        <v>Lower</v>
      </c>
      <c r="AI90" s="1" t="str">
        <f t="shared" si="14"/>
        <v>Lower</v>
      </c>
      <c r="AJ90" s="1" t="str">
        <f t="shared" si="14"/>
        <v>Lower</v>
      </c>
    </row>
    <row r="91" spans="4:46">
      <c r="P91" s="1" t="s">
        <v>562</v>
      </c>
      <c r="AK91" s="1" t="str">
        <f t="shared" ref="AK91:AT92" si="15">AA89</f>
        <v>Upper</v>
      </c>
      <c r="AL91" s="1" t="str">
        <f t="shared" si="15"/>
        <v>Upper</v>
      </c>
      <c r="AM91" s="1" t="str">
        <f t="shared" si="15"/>
        <v>Upper</v>
      </c>
      <c r="AN91" s="1" t="str">
        <f t="shared" si="15"/>
        <v>Upper</v>
      </c>
      <c r="AO91" s="1" t="str">
        <f t="shared" si="15"/>
        <v>Upper</v>
      </c>
      <c r="AP91" s="1" t="str">
        <f t="shared" si="15"/>
        <v>Upper</v>
      </c>
      <c r="AQ91" s="1" t="str">
        <f t="shared" si="15"/>
        <v>Upper</v>
      </c>
      <c r="AR91" s="1" t="str">
        <f t="shared" si="15"/>
        <v>Upper</v>
      </c>
      <c r="AS91" s="1" t="str">
        <f t="shared" si="15"/>
        <v>Upper</v>
      </c>
      <c r="AT91" s="1" t="str">
        <f t="shared" si="15"/>
        <v>Upper</v>
      </c>
    </row>
    <row r="92" spans="4:46">
      <c r="P92" s="1" t="s">
        <v>563</v>
      </c>
      <c r="AK92" s="1" t="str">
        <f t="shared" si="15"/>
        <v>Lower</v>
      </c>
      <c r="AL92" s="1" t="str">
        <f t="shared" si="15"/>
        <v>Lower</v>
      </c>
      <c r="AM92" s="1" t="str">
        <f t="shared" si="15"/>
        <v>Lower</v>
      </c>
      <c r="AN92" s="1" t="str">
        <f t="shared" si="15"/>
        <v>Lower</v>
      </c>
      <c r="AO92" s="1" t="str">
        <f t="shared" si="15"/>
        <v>Lower</v>
      </c>
      <c r="AP92" s="1" t="str">
        <f t="shared" si="15"/>
        <v>Lower</v>
      </c>
      <c r="AQ92" s="1" t="str">
        <f t="shared" si="15"/>
        <v>Lower</v>
      </c>
      <c r="AR92" s="1" t="str">
        <f t="shared" si="15"/>
        <v>Lower</v>
      </c>
      <c r="AS92" s="1" t="str">
        <f t="shared" si="15"/>
        <v>Lower</v>
      </c>
      <c r="AT92" s="1" t="str">
        <f t="shared" si="15"/>
        <v>Lower</v>
      </c>
    </row>
    <row r="93" spans="4:46">
      <c r="P93" s="1" t="s">
        <v>564</v>
      </c>
      <c r="AA93" s="443" t="e">
        <f>Q47</f>
        <v>#VALUE!</v>
      </c>
      <c r="AB93" s="443" t="e">
        <f t="shared" ref="AB93:AJ93" si="16">AA93</f>
        <v>#VALUE!</v>
      </c>
      <c r="AC93" s="443" t="e">
        <f t="shared" si="16"/>
        <v>#VALUE!</v>
      </c>
      <c r="AD93" s="443" t="e">
        <f t="shared" si="16"/>
        <v>#VALUE!</v>
      </c>
      <c r="AE93" s="443" t="e">
        <f t="shared" si="16"/>
        <v>#VALUE!</v>
      </c>
      <c r="AF93" s="443" t="e">
        <f t="shared" si="16"/>
        <v>#VALUE!</v>
      </c>
      <c r="AG93" s="443" t="e">
        <f t="shared" si="16"/>
        <v>#VALUE!</v>
      </c>
      <c r="AH93" s="443" t="e">
        <f t="shared" si="16"/>
        <v>#VALUE!</v>
      </c>
      <c r="AI93" s="443" t="e">
        <f t="shared" si="16"/>
        <v>#VALUE!</v>
      </c>
      <c r="AJ93" s="443" t="e">
        <f t="shared" si="16"/>
        <v>#VALUE!</v>
      </c>
    </row>
    <row r="94" spans="4:46">
      <c r="P94" s="1" t="s">
        <v>565</v>
      </c>
      <c r="AK94" s="443" t="e">
        <f t="shared" ref="AK94:AT94" si="17">AA93</f>
        <v>#VALUE!</v>
      </c>
      <c r="AL94" s="443" t="e">
        <f t="shared" si="17"/>
        <v>#VALUE!</v>
      </c>
      <c r="AM94" s="443" t="e">
        <f t="shared" si="17"/>
        <v>#VALUE!</v>
      </c>
      <c r="AN94" s="443" t="e">
        <f t="shared" si="17"/>
        <v>#VALUE!</v>
      </c>
      <c r="AO94" s="443" t="e">
        <f t="shared" si="17"/>
        <v>#VALUE!</v>
      </c>
      <c r="AP94" s="443" t="e">
        <f t="shared" si="17"/>
        <v>#VALUE!</v>
      </c>
      <c r="AQ94" s="443" t="e">
        <f t="shared" si="17"/>
        <v>#VALUE!</v>
      </c>
      <c r="AR94" s="443" t="e">
        <f t="shared" si="17"/>
        <v>#VALUE!</v>
      </c>
      <c r="AS94" s="443" t="e">
        <f t="shared" si="17"/>
        <v>#VALUE!</v>
      </c>
      <c r="AT94" s="443" t="e">
        <f t="shared" si="17"/>
        <v>#VALUE!</v>
      </c>
    </row>
    <row r="101" spans="2:13">
      <c r="B101" s="1" t="s">
        <v>556</v>
      </c>
      <c r="D101" s="113"/>
      <c r="E101" s="113"/>
      <c r="F101" s="113"/>
      <c r="G101" s="113"/>
      <c r="H101" s="113"/>
      <c r="I101" s="113"/>
      <c r="J101" s="113"/>
      <c r="K101" s="113"/>
      <c r="L101" s="113"/>
      <c r="M101" s="113"/>
    </row>
    <row r="102" spans="2:13">
      <c r="D102" s="225"/>
      <c r="E102" s="225"/>
      <c r="F102" s="225"/>
      <c r="G102" s="225"/>
      <c r="H102" s="225"/>
      <c r="I102" s="225"/>
      <c r="J102" s="225"/>
      <c r="K102" s="225"/>
      <c r="L102" s="225"/>
      <c r="M102" s="225"/>
    </row>
    <row r="123" spans="2:13">
      <c r="B123" s="1" t="s">
        <v>556</v>
      </c>
      <c r="D123" s="113"/>
      <c r="E123" s="113"/>
      <c r="F123" s="113"/>
      <c r="G123" s="113"/>
      <c r="H123" s="113"/>
      <c r="I123" s="113"/>
      <c r="J123" s="113"/>
      <c r="K123" s="113"/>
      <c r="L123" s="113"/>
      <c r="M123" s="113"/>
    </row>
    <row r="124" spans="2:13">
      <c r="D124" s="225"/>
      <c r="E124" s="225"/>
      <c r="F124" s="225"/>
      <c r="G124" s="225"/>
      <c r="H124" s="225"/>
      <c r="I124" s="225"/>
      <c r="J124" s="225"/>
      <c r="K124" s="225"/>
      <c r="L124" s="225"/>
      <c r="M124" s="225"/>
    </row>
    <row r="132" spans="17:26">
      <c r="Q132" s="421"/>
      <c r="R132" s="421"/>
      <c r="S132" s="421"/>
      <c r="T132" s="421"/>
      <c r="U132" s="421"/>
      <c r="V132" s="421"/>
      <c r="W132" s="421"/>
      <c r="X132" s="421"/>
      <c r="Y132" s="421"/>
      <c r="Z132" s="421"/>
    </row>
    <row r="133" spans="17:26">
      <c r="Q133" s="421"/>
      <c r="R133" s="421"/>
      <c r="S133" s="421"/>
      <c r="T133" s="421"/>
      <c r="U133" s="421"/>
      <c r="V133" s="421"/>
      <c r="W133" s="421"/>
      <c r="X133" s="421"/>
      <c r="Y133" s="421"/>
      <c r="Z133" s="421"/>
    </row>
    <row r="134" spans="17:26">
      <c r="Q134" s="421"/>
      <c r="R134" s="421"/>
      <c r="S134" s="421"/>
      <c r="T134" s="421"/>
      <c r="U134" s="421"/>
      <c r="V134" s="421"/>
      <c r="W134" s="421"/>
      <c r="X134" s="421"/>
      <c r="Y134" s="421"/>
      <c r="Z134" s="421"/>
    </row>
    <row r="135" spans="17:26">
      <c r="Q135" s="421"/>
      <c r="R135" s="421"/>
      <c r="S135" s="421"/>
      <c r="T135" s="421"/>
      <c r="U135" s="421"/>
      <c r="V135" s="421"/>
      <c r="W135" s="421"/>
      <c r="X135" s="421"/>
      <c r="Y135" s="421"/>
      <c r="Z135" s="421"/>
    </row>
    <row r="136" spans="17:26">
      <c r="Q136" s="421"/>
      <c r="R136" s="421"/>
      <c r="S136" s="421"/>
      <c r="T136" s="421"/>
      <c r="U136" s="421"/>
      <c r="V136" s="421"/>
      <c r="W136" s="421"/>
      <c r="X136" s="421"/>
      <c r="Y136" s="421"/>
      <c r="Z136" s="421"/>
    </row>
    <row r="137" spans="17:26">
      <c r="Q137" s="421"/>
      <c r="R137" s="421"/>
      <c r="S137" s="421"/>
      <c r="T137" s="421"/>
      <c r="U137" s="421"/>
      <c r="V137" s="421"/>
      <c r="W137" s="421"/>
      <c r="X137" s="421"/>
      <c r="Y137" s="421"/>
      <c r="Z137" s="421"/>
    </row>
    <row r="138" spans="17:26">
      <c r="Q138" s="444"/>
      <c r="R138" s="444"/>
      <c r="S138" s="444"/>
      <c r="T138" s="444"/>
      <c r="U138" s="444"/>
      <c r="V138" s="444"/>
      <c r="W138" s="444"/>
      <c r="X138" s="444"/>
      <c r="Y138" s="444"/>
      <c r="Z138" s="444"/>
    </row>
    <row r="153" spans="2:16">
      <c r="B153" s="1" t="s">
        <v>556</v>
      </c>
      <c r="D153" s="113"/>
      <c r="E153" s="113"/>
      <c r="F153" s="113"/>
      <c r="G153" s="113"/>
      <c r="H153" s="113"/>
      <c r="I153" s="113"/>
      <c r="J153" s="113"/>
      <c r="K153" s="113"/>
      <c r="L153" s="113"/>
      <c r="M153" s="113"/>
    </row>
    <row r="154" spans="2:16">
      <c r="D154" s="225"/>
      <c r="E154" s="225"/>
      <c r="F154" s="225"/>
      <c r="G154" s="225"/>
      <c r="H154" s="225"/>
      <c r="I154" s="225"/>
      <c r="J154" s="225"/>
      <c r="K154" s="225"/>
      <c r="L154" s="225"/>
      <c r="M154" s="225"/>
    </row>
    <row r="160" spans="2:16">
      <c r="P160" s="1" t="s">
        <v>557</v>
      </c>
    </row>
    <row r="161" spans="16:61">
      <c r="U161" s="1" t="s">
        <v>509</v>
      </c>
      <c r="AD161" s="1" t="s">
        <v>510</v>
      </c>
      <c r="AM161" s="1" t="s">
        <v>511</v>
      </c>
      <c r="AV161" s="1" t="s">
        <v>512</v>
      </c>
      <c r="BE161" s="1" t="s">
        <v>513</v>
      </c>
    </row>
    <row r="162" spans="16:61">
      <c r="Q162" s="1" t="s">
        <v>566</v>
      </c>
      <c r="R162" s="1" t="s">
        <v>567</v>
      </c>
      <c r="S162" s="1" t="s">
        <v>568</v>
      </c>
      <c r="T162" s="1" t="s">
        <v>569</v>
      </c>
      <c r="U162" s="1" t="s">
        <v>570</v>
      </c>
      <c r="V162" s="1" t="s">
        <v>571</v>
      </c>
      <c r="W162" s="1" t="s">
        <v>572</v>
      </c>
      <c r="X162" s="1" t="s">
        <v>573</v>
      </c>
      <c r="Y162" s="1" t="s">
        <v>574</v>
      </c>
      <c r="Z162" s="1" t="s">
        <v>566</v>
      </c>
      <c r="AA162" s="1" t="s">
        <v>567</v>
      </c>
      <c r="AB162" s="1" t="s">
        <v>568</v>
      </c>
      <c r="AC162" s="1" t="s">
        <v>569</v>
      </c>
      <c r="AD162" s="1" t="s">
        <v>570</v>
      </c>
      <c r="AE162" s="1" t="s">
        <v>571</v>
      </c>
      <c r="AF162" s="1" t="s">
        <v>572</v>
      </c>
      <c r="AG162" s="1" t="s">
        <v>573</v>
      </c>
      <c r="AH162" s="1" t="s">
        <v>574</v>
      </c>
      <c r="AI162" s="1" t="s">
        <v>566</v>
      </c>
      <c r="AJ162" s="1" t="s">
        <v>567</v>
      </c>
      <c r="AK162" s="1" t="s">
        <v>568</v>
      </c>
      <c r="AL162" s="1" t="s">
        <v>569</v>
      </c>
      <c r="AM162" s="1" t="s">
        <v>570</v>
      </c>
      <c r="AN162" s="1" t="s">
        <v>571</v>
      </c>
      <c r="AO162" s="1" t="s">
        <v>572</v>
      </c>
      <c r="AP162" s="1" t="s">
        <v>573</v>
      </c>
      <c r="AQ162" s="1" t="s">
        <v>574</v>
      </c>
      <c r="AR162" s="1" t="s">
        <v>566</v>
      </c>
      <c r="AS162" s="1" t="s">
        <v>567</v>
      </c>
      <c r="AT162" s="1" t="s">
        <v>568</v>
      </c>
      <c r="AU162" s="1" t="s">
        <v>569</v>
      </c>
      <c r="AV162" s="1" t="s">
        <v>570</v>
      </c>
      <c r="AW162" s="1" t="s">
        <v>571</v>
      </c>
      <c r="AX162" s="1" t="s">
        <v>572</v>
      </c>
      <c r="AY162" s="1" t="s">
        <v>573</v>
      </c>
      <c r="AZ162" s="1" t="s">
        <v>574</v>
      </c>
      <c r="BA162" s="1" t="s">
        <v>566</v>
      </c>
      <c r="BB162" s="1" t="s">
        <v>567</v>
      </c>
      <c r="BC162" s="1" t="s">
        <v>568</v>
      </c>
      <c r="BD162" s="1" t="s">
        <v>569</v>
      </c>
      <c r="BE162" s="1" t="s">
        <v>570</v>
      </c>
      <c r="BF162" s="1" t="s">
        <v>571</v>
      </c>
      <c r="BG162" s="1" t="s">
        <v>572</v>
      </c>
      <c r="BH162" s="1" t="s">
        <v>573</v>
      </c>
      <c r="BI162" s="1" t="s">
        <v>574</v>
      </c>
    </row>
    <row r="163" spans="16:61">
      <c r="P163" s="11" t="s">
        <v>575</v>
      </c>
      <c r="Q163" s="421" t="str">
        <f>C19</f>
        <v/>
      </c>
      <c r="R163" s="421" t="str">
        <f>C20</f>
        <v/>
      </c>
      <c r="S163" s="421" t="str">
        <f>C21</f>
        <v/>
      </c>
      <c r="Z163" s="421" t="str">
        <f>D19</f>
        <v/>
      </c>
      <c r="AA163" s="421" t="str">
        <f>D20</f>
        <v/>
      </c>
      <c r="AB163" s="421" t="str">
        <f>D21</f>
        <v/>
      </c>
      <c r="AI163" s="421" t="str">
        <f>E19</f>
        <v/>
      </c>
      <c r="AJ163" s="421" t="str">
        <f>E20</f>
        <v/>
      </c>
      <c r="AK163" s="421" t="str">
        <f>E21</f>
        <v/>
      </c>
      <c r="AR163" s="421" t="str">
        <f>F19</f>
        <v/>
      </c>
      <c r="AS163" s="421" t="str">
        <f>F20</f>
        <v/>
      </c>
      <c r="AT163" s="421" t="str">
        <f>F21</f>
        <v/>
      </c>
      <c r="BA163" s="421" t="str">
        <f>G19</f>
        <v/>
      </c>
      <c r="BB163" s="421" t="str">
        <f>G20</f>
        <v/>
      </c>
      <c r="BC163" s="421" t="str">
        <f>G21</f>
        <v/>
      </c>
    </row>
    <row r="164" spans="16:61">
      <c r="P164" s="11" t="s">
        <v>576</v>
      </c>
      <c r="T164" s="421" t="str">
        <f>IF(C24&lt;&gt;"",C24,"")</f>
        <v/>
      </c>
      <c r="U164" s="421" t="str">
        <f>IF(C25&lt;&gt;"",C25,"")</f>
        <v/>
      </c>
      <c r="V164" s="421" t="str">
        <f>IF(C26&lt;&gt;"",C26,"")</f>
        <v/>
      </c>
      <c r="AC164" s="421" t="str">
        <f>IF(D24&lt;&gt;"",D24,"")</f>
        <v/>
      </c>
      <c r="AD164" s="421" t="str">
        <f>IF(D25&lt;&gt;"",D25,"")</f>
        <v/>
      </c>
      <c r="AE164" s="421" t="str">
        <f>IF(D26&lt;&gt;"",D26,"")</f>
        <v/>
      </c>
      <c r="AL164" s="421" t="str">
        <f>IF(E24&lt;&gt;"",E24,"")</f>
        <v/>
      </c>
      <c r="AM164" s="421" t="str">
        <f>IF(E25&lt;&gt;"",E25,"")</f>
        <v/>
      </c>
      <c r="AN164" s="421" t="str">
        <f>IF(E26&lt;&gt;"",E26,"")</f>
        <v/>
      </c>
      <c r="AU164" s="421" t="str">
        <f>IF(F24&lt;&gt;"",F24,"")</f>
        <v/>
      </c>
      <c r="AV164" s="421" t="str">
        <f>IF(F25&lt;&gt;"",F25,"")</f>
        <v/>
      </c>
      <c r="AW164" s="421" t="str">
        <f>IF(F26&lt;&gt;"",F26,"")</f>
        <v/>
      </c>
      <c r="BD164" s="421" t="str">
        <f>IF(G24&lt;&gt;"",G24,"")</f>
        <v/>
      </c>
      <c r="BE164" s="421" t="str">
        <f>IF(G25&lt;&gt;"",G25,"")</f>
        <v/>
      </c>
      <c r="BF164" s="421" t="str">
        <f>IF(G26&lt;&gt;"",G26,"")</f>
        <v/>
      </c>
    </row>
    <row r="165" spans="16:61">
      <c r="P165" s="11" t="s">
        <v>577</v>
      </c>
      <c r="W165" s="421" t="str">
        <f>IF(C29&lt;&gt;"",C29,"")</f>
        <v/>
      </c>
      <c r="X165" s="421" t="str">
        <f>IF(C30&lt;&gt;"",C30,"")</f>
        <v/>
      </c>
      <c r="Y165" s="421" t="str">
        <f>IF(C31&lt;&gt;"",C31,"")</f>
        <v/>
      </c>
      <c r="AF165" s="421" t="str">
        <f>IF(D29&lt;&gt;"",D29,"")</f>
        <v/>
      </c>
      <c r="AG165" s="421" t="str">
        <f>IF(D30&lt;&gt;"",D30,"")</f>
        <v/>
      </c>
      <c r="AH165" s="421" t="str">
        <f>IF(D31&lt;&gt;"",D31,"")</f>
        <v/>
      </c>
      <c r="AO165" s="421" t="str">
        <f>IF(E29&lt;&gt;"",E29,"")</f>
        <v/>
      </c>
      <c r="AP165" s="421" t="str">
        <f>IF(E30&lt;&gt;"",E30,"")</f>
        <v/>
      </c>
      <c r="AQ165" s="421" t="str">
        <f>IF(E31&lt;&gt;"",E31,"")</f>
        <v/>
      </c>
      <c r="AX165" s="421" t="str">
        <f>IF(F29&lt;&gt;"",F29,"")</f>
        <v/>
      </c>
      <c r="AY165" s="421" t="str">
        <f>IF(F30&lt;&gt;"",F30,"")</f>
        <v/>
      </c>
      <c r="AZ165" s="421" t="str">
        <f>IF(F31&lt;&gt;"",F31,"")</f>
        <v/>
      </c>
      <c r="BG165" s="421" t="str">
        <f>IF(G29&lt;&gt;"",G29,"")</f>
        <v/>
      </c>
      <c r="BH165" s="421" t="str">
        <f>IF(G30&lt;&gt;"",G30,"")</f>
        <v/>
      </c>
      <c r="BI165" s="421" t="str">
        <f>IF(G31&lt;&gt;"",G31,"")</f>
        <v/>
      </c>
    </row>
    <row r="167" spans="16:61">
      <c r="U167" s="1" t="s">
        <v>514</v>
      </c>
      <c r="AD167" s="1" t="s">
        <v>515</v>
      </c>
      <c r="AM167" s="1" t="s">
        <v>516</v>
      </c>
      <c r="AV167" s="1" t="s">
        <v>517</v>
      </c>
      <c r="BE167" s="1" t="s">
        <v>518</v>
      </c>
    </row>
    <row r="168" spans="16:61">
      <c r="Q168" s="1" t="s">
        <v>566</v>
      </c>
      <c r="R168" s="1" t="s">
        <v>567</v>
      </c>
      <c r="S168" s="1" t="s">
        <v>568</v>
      </c>
      <c r="T168" s="1" t="s">
        <v>569</v>
      </c>
      <c r="U168" s="1" t="s">
        <v>570</v>
      </c>
      <c r="V168" s="1" t="s">
        <v>571</v>
      </c>
      <c r="W168" s="1" t="s">
        <v>572</v>
      </c>
      <c r="X168" s="1" t="s">
        <v>573</v>
      </c>
      <c r="Y168" s="1" t="s">
        <v>574</v>
      </c>
      <c r="Z168" s="1" t="s">
        <v>566</v>
      </c>
      <c r="AA168" s="1" t="s">
        <v>567</v>
      </c>
      <c r="AB168" s="1" t="s">
        <v>568</v>
      </c>
      <c r="AC168" s="1" t="s">
        <v>569</v>
      </c>
      <c r="AD168" s="1" t="s">
        <v>570</v>
      </c>
      <c r="AE168" s="1" t="s">
        <v>571</v>
      </c>
      <c r="AF168" s="1" t="s">
        <v>572</v>
      </c>
      <c r="AG168" s="1" t="s">
        <v>573</v>
      </c>
      <c r="AH168" s="1" t="s">
        <v>574</v>
      </c>
      <c r="AI168" s="1" t="s">
        <v>566</v>
      </c>
      <c r="AJ168" s="1" t="s">
        <v>567</v>
      </c>
      <c r="AK168" s="1" t="s">
        <v>568</v>
      </c>
      <c r="AL168" s="1" t="s">
        <v>569</v>
      </c>
      <c r="AM168" s="1" t="s">
        <v>570</v>
      </c>
      <c r="AN168" s="1" t="s">
        <v>571</v>
      </c>
      <c r="AO168" s="1" t="s">
        <v>572</v>
      </c>
      <c r="AP168" s="1" t="s">
        <v>573</v>
      </c>
      <c r="AQ168" s="1" t="s">
        <v>574</v>
      </c>
      <c r="AR168" s="1" t="s">
        <v>566</v>
      </c>
      <c r="AS168" s="1" t="s">
        <v>567</v>
      </c>
      <c r="AT168" s="1" t="s">
        <v>568</v>
      </c>
      <c r="AU168" s="1" t="s">
        <v>569</v>
      </c>
      <c r="AV168" s="1" t="s">
        <v>570</v>
      </c>
      <c r="AW168" s="1" t="s">
        <v>571</v>
      </c>
      <c r="AX168" s="1" t="s">
        <v>572</v>
      </c>
      <c r="AY168" s="1" t="s">
        <v>573</v>
      </c>
      <c r="AZ168" s="1" t="s">
        <v>574</v>
      </c>
      <c r="BA168" s="1" t="s">
        <v>566</v>
      </c>
      <c r="BB168" s="1" t="s">
        <v>567</v>
      </c>
      <c r="BC168" s="1" t="s">
        <v>568</v>
      </c>
      <c r="BD168" s="1" t="s">
        <v>569</v>
      </c>
      <c r="BE168" s="1" t="s">
        <v>570</v>
      </c>
      <c r="BF168" s="1" t="s">
        <v>571</v>
      </c>
      <c r="BG168" s="1" t="s">
        <v>572</v>
      </c>
      <c r="BH168" s="1" t="s">
        <v>573</v>
      </c>
      <c r="BI168" s="1" t="s">
        <v>574</v>
      </c>
    </row>
    <row r="169" spans="16:61">
      <c r="P169" s="11" t="s">
        <v>575</v>
      </c>
      <c r="Q169" s="421" t="str">
        <f>H19</f>
        <v/>
      </c>
      <c r="R169" s="421" t="str">
        <f>H20</f>
        <v/>
      </c>
      <c r="S169" s="421" t="str">
        <f>H21</f>
        <v/>
      </c>
      <c r="Z169" s="421" t="str">
        <f>I19</f>
        <v/>
      </c>
      <c r="AA169" s="421" t="str">
        <f>I20</f>
        <v/>
      </c>
      <c r="AB169" s="421" t="str">
        <f>I21</f>
        <v/>
      </c>
      <c r="AI169" s="421" t="str">
        <f>J19</f>
        <v/>
      </c>
      <c r="AJ169" s="421" t="str">
        <f>J20</f>
        <v/>
      </c>
      <c r="AK169" s="421" t="str">
        <f>J21</f>
        <v/>
      </c>
      <c r="AR169" s="421" t="str">
        <f>K19</f>
        <v/>
      </c>
      <c r="AS169" s="421" t="str">
        <f>K20</f>
        <v/>
      </c>
      <c r="AT169" s="421" t="str">
        <f>K21</f>
        <v/>
      </c>
      <c r="BA169" s="421" t="str">
        <f>L19</f>
        <v/>
      </c>
      <c r="BB169" s="421" t="str">
        <f>L20</f>
        <v/>
      </c>
      <c r="BC169" s="421" t="str">
        <f>L21</f>
        <v/>
      </c>
    </row>
    <row r="170" spans="16:61">
      <c r="P170" s="11" t="s">
        <v>576</v>
      </c>
      <c r="T170" s="421" t="str">
        <f>IF(H24&lt;&gt;"",H24,"")</f>
        <v/>
      </c>
      <c r="U170" s="421" t="str">
        <f>IF(H25&lt;&gt;"",H25,"")</f>
        <v/>
      </c>
      <c r="V170" s="421" t="str">
        <f>IF(H26&lt;&gt;"",H26,"")</f>
        <v/>
      </c>
      <c r="AC170" s="421" t="str">
        <f>IF(I24&lt;&gt;"",I24,"")</f>
        <v/>
      </c>
      <c r="AD170" s="421" t="str">
        <f>IF(I25&lt;&gt;"",I25,"")</f>
        <v/>
      </c>
      <c r="AE170" s="421" t="str">
        <f>IF(I26&lt;&gt;"",I26,"")</f>
        <v/>
      </c>
      <c r="AL170" s="421" t="str">
        <f>IF(J24&lt;&gt;"",J24,"")</f>
        <v/>
      </c>
      <c r="AM170" s="421" t="str">
        <f>IF(J25&lt;&gt;"",J25,"")</f>
        <v/>
      </c>
      <c r="AN170" s="421" t="str">
        <f>IF(J26&lt;&gt;"",J26,"")</f>
        <v/>
      </c>
      <c r="AU170" s="421" t="str">
        <f>IF(K24&lt;&gt;"",K24,"")</f>
        <v/>
      </c>
      <c r="AV170" s="421" t="str">
        <f>IF(K25&lt;&gt;"",K25,"")</f>
        <v/>
      </c>
      <c r="AW170" s="421" t="str">
        <f>IF(K26&lt;&gt;"",K26,"")</f>
        <v/>
      </c>
      <c r="BD170" s="421" t="str">
        <f>IF(L24&lt;&gt;"",L24,"")</f>
        <v/>
      </c>
      <c r="BE170" s="421" t="str">
        <f>IF(L25&lt;&gt;"",L25,"")</f>
        <v/>
      </c>
      <c r="BF170" s="421" t="str">
        <f>IF(L26&lt;&gt;"",L26,"")</f>
        <v/>
      </c>
    </row>
    <row r="171" spans="16:61">
      <c r="P171" s="11" t="s">
        <v>577</v>
      </c>
      <c r="W171" s="421" t="str">
        <f>IF(H29&lt;&gt;"",H29,"")</f>
        <v/>
      </c>
      <c r="X171" s="421" t="str">
        <f>IF(H30&lt;&gt;"",H30,"")</f>
        <v/>
      </c>
      <c r="Y171" s="421" t="str">
        <f>IF(H31&lt;&gt;"",H31,"")</f>
        <v/>
      </c>
      <c r="AF171" s="421" t="str">
        <f>IF(I29&lt;&gt;"",I29,"")</f>
        <v/>
      </c>
      <c r="AG171" s="421" t="str">
        <f>IF(I30&lt;&gt;"",I30,"")</f>
        <v/>
      </c>
      <c r="AH171" s="421" t="str">
        <f>IF(I31&lt;&gt;"",I31,"")</f>
        <v/>
      </c>
      <c r="AO171" s="421" t="str">
        <f>IF(J29&lt;&gt;"",J29,"")</f>
        <v/>
      </c>
      <c r="AP171" s="421" t="str">
        <f>IF(J30&lt;&gt;"",J30,"")</f>
        <v/>
      </c>
      <c r="AQ171" s="421" t="str">
        <f>IF(J31&lt;&gt;"",J31,"")</f>
        <v/>
      </c>
      <c r="AX171" s="421" t="str">
        <f>IF(K29&lt;&gt;"",K29,"")</f>
        <v/>
      </c>
      <c r="AY171" s="421" t="str">
        <f>IF(K30&lt;&gt;"",K30,"")</f>
        <v/>
      </c>
      <c r="AZ171" s="421" t="str">
        <f>IF(K31&lt;&gt;"",K31,"")</f>
        <v/>
      </c>
      <c r="BG171" s="421" t="str">
        <f>IF(L29&lt;&gt;"",L29,"")</f>
        <v/>
      </c>
      <c r="BH171" s="421" t="str">
        <f>IF(L30&lt;&gt;"",L30,"")</f>
        <v/>
      </c>
      <c r="BI171" s="421" t="str">
        <f>IF(L31&lt;&gt;"",L31,"")</f>
        <v/>
      </c>
    </row>
    <row r="198" spans="2:27">
      <c r="B198" s="1" t="s">
        <v>556</v>
      </c>
      <c r="D198" s="113"/>
      <c r="E198" s="113"/>
      <c r="F198" s="113"/>
      <c r="G198" s="113"/>
      <c r="H198" s="113"/>
      <c r="I198" s="113"/>
      <c r="J198" s="113"/>
      <c r="K198" s="113"/>
      <c r="L198" s="113"/>
      <c r="M198" s="113"/>
    </row>
    <row r="199" spans="2:27">
      <c r="D199" s="225"/>
      <c r="E199" s="225"/>
      <c r="F199" s="225"/>
      <c r="G199" s="225"/>
      <c r="H199" s="225"/>
      <c r="I199" s="225"/>
      <c r="J199" s="225"/>
      <c r="K199" s="225"/>
      <c r="L199" s="225"/>
      <c r="M199" s="225"/>
    </row>
    <row r="204" spans="2:27">
      <c r="P204" s="1" t="s">
        <v>557</v>
      </c>
    </row>
    <row r="205" spans="2:27">
      <c r="R205" s="363">
        <v>1</v>
      </c>
      <c r="S205" s="363">
        <v>2</v>
      </c>
      <c r="T205" s="363">
        <v>3</v>
      </c>
      <c r="U205" s="363">
        <v>4</v>
      </c>
      <c r="V205" s="363">
        <v>5</v>
      </c>
      <c r="W205" s="363">
        <v>6</v>
      </c>
      <c r="X205" s="363">
        <v>7</v>
      </c>
      <c r="Y205" s="363">
        <v>8</v>
      </c>
      <c r="Z205" s="363">
        <v>9</v>
      </c>
      <c r="AA205" s="363">
        <v>10</v>
      </c>
    </row>
    <row r="206" spans="2:27">
      <c r="P206" s="1" t="s">
        <v>519</v>
      </c>
      <c r="Q206" s="1" t="s">
        <v>578</v>
      </c>
      <c r="R206" s="421" t="str">
        <f t="shared" ref="R206:AA206" si="18">IF(C19&lt;&gt;"",MAX(C19:C21),"")</f>
        <v/>
      </c>
      <c r="S206" s="421" t="str">
        <f t="shared" si="18"/>
        <v/>
      </c>
      <c r="T206" s="421" t="str">
        <f t="shared" si="18"/>
        <v/>
      </c>
      <c r="U206" s="421" t="str">
        <f t="shared" si="18"/>
        <v/>
      </c>
      <c r="V206" s="421" t="str">
        <f t="shared" si="18"/>
        <v/>
      </c>
      <c r="W206" s="421" t="str">
        <f t="shared" si="18"/>
        <v/>
      </c>
      <c r="X206" s="421" t="str">
        <f t="shared" si="18"/>
        <v/>
      </c>
      <c r="Y206" s="421" t="str">
        <f t="shared" si="18"/>
        <v/>
      </c>
      <c r="Z206" s="421" t="str">
        <f t="shared" si="18"/>
        <v/>
      </c>
      <c r="AA206" s="421" t="str">
        <f t="shared" si="18"/>
        <v/>
      </c>
    </row>
    <row r="207" spans="2:27">
      <c r="Q207" s="274" t="s">
        <v>579</v>
      </c>
      <c r="R207" s="423" t="str">
        <f t="shared" ref="R207:AA207" si="19">IF(C22&lt;&gt;"",R206-C22,"")</f>
        <v/>
      </c>
      <c r="S207" s="423" t="str">
        <f t="shared" si="19"/>
        <v/>
      </c>
      <c r="T207" s="423" t="str">
        <f t="shared" si="19"/>
        <v/>
      </c>
      <c r="U207" s="423" t="str">
        <f t="shared" si="19"/>
        <v/>
      </c>
      <c r="V207" s="423" t="str">
        <f t="shared" si="19"/>
        <v/>
      </c>
      <c r="W207" s="423" t="str">
        <f t="shared" si="19"/>
        <v/>
      </c>
      <c r="X207" s="423" t="str">
        <f t="shared" si="19"/>
        <v/>
      </c>
      <c r="Y207" s="423" t="str">
        <f t="shared" si="19"/>
        <v/>
      </c>
      <c r="Z207" s="423" t="str">
        <f t="shared" si="19"/>
        <v/>
      </c>
      <c r="AA207" s="423" t="str">
        <f t="shared" si="19"/>
        <v/>
      </c>
    </row>
    <row r="208" spans="2:27">
      <c r="Q208" s="1" t="s">
        <v>580</v>
      </c>
      <c r="R208" s="421" t="str">
        <f t="shared" ref="R208:AA208" si="20">IF(C19&lt;&gt;"",MIN(C19:C21),"")</f>
        <v/>
      </c>
      <c r="S208" s="421" t="str">
        <f t="shared" si="20"/>
        <v/>
      </c>
      <c r="T208" s="421" t="str">
        <f t="shared" si="20"/>
        <v/>
      </c>
      <c r="U208" s="421" t="str">
        <f t="shared" si="20"/>
        <v/>
      </c>
      <c r="V208" s="421" t="str">
        <f t="shared" si="20"/>
        <v/>
      </c>
      <c r="W208" s="421" t="str">
        <f t="shared" si="20"/>
        <v/>
      </c>
      <c r="X208" s="421" t="str">
        <f t="shared" si="20"/>
        <v/>
      </c>
      <c r="Y208" s="421" t="str">
        <f t="shared" si="20"/>
        <v/>
      </c>
      <c r="Z208" s="421" t="str">
        <f t="shared" si="20"/>
        <v/>
      </c>
      <c r="AA208" s="421" t="str">
        <f t="shared" si="20"/>
        <v/>
      </c>
    </row>
    <row r="209" spans="16:27">
      <c r="Q209" s="274" t="s">
        <v>443</v>
      </c>
      <c r="R209" s="423" t="str">
        <f t="shared" ref="R209:AA209" si="21">IF(C22&lt;&gt;"",C22-R208,"")</f>
        <v/>
      </c>
      <c r="S209" s="423" t="str">
        <f t="shared" si="21"/>
        <v/>
      </c>
      <c r="T209" s="423" t="str">
        <f t="shared" si="21"/>
        <v/>
      </c>
      <c r="U209" s="423" t="str">
        <f t="shared" si="21"/>
        <v/>
      </c>
      <c r="V209" s="423" t="str">
        <f t="shared" si="21"/>
        <v/>
      </c>
      <c r="W209" s="423" t="str">
        <f t="shared" si="21"/>
        <v/>
      </c>
      <c r="X209" s="423" t="str">
        <f t="shared" si="21"/>
        <v/>
      </c>
      <c r="Y209" s="423" t="str">
        <f t="shared" si="21"/>
        <v/>
      </c>
      <c r="Z209" s="423" t="str">
        <f t="shared" si="21"/>
        <v/>
      </c>
      <c r="AA209" s="423" t="str">
        <f t="shared" si="21"/>
        <v/>
      </c>
    </row>
    <row r="210" spans="16:27">
      <c r="P210" s="1" t="s">
        <v>524</v>
      </c>
      <c r="Q210" s="1" t="s">
        <v>578</v>
      </c>
      <c r="R210" s="421" t="str">
        <f t="shared" ref="R210:AA210" si="22">IF(C24&lt;&gt;"",MAX(C24:C26),"")</f>
        <v/>
      </c>
      <c r="S210" s="421" t="str">
        <f t="shared" si="22"/>
        <v/>
      </c>
      <c r="T210" s="421" t="str">
        <f t="shared" si="22"/>
        <v/>
      </c>
      <c r="U210" s="421" t="str">
        <f t="shared" si="22"/>
        <v/>
      </c>
      <c r="V210" s="421" t="str">
        <f t="shared" si="22"/>
        <v/>
      </c>
      <c r="W210" s="421" t="str">
        <f t="shared" si="22"/>
        <v/>
      </c>
      <c r="X210" s="421" t="str">
        <f t="shared" si="22"/>
        <v/>
      </c>
      <c r="Y210" s="421" t="str">
        <f t="shared" si="22"/>
        <v/>
      </c>
      <c r="Z210" s="421" t="str">
        <f t="shared" si="22"/>
        <v/>
      </c>
      <c r="AA210" s="421" t="str">
        <f t="shared" si="22"/>
        <v/>
      </c>
    </row>
    <row r="211" spans="16:27">
      <c r="Q211" s="274" t="s">
        <v>579</v>
      </c>
      <c r="R211" s="423" t="str">
        <f t="shared" ref="R211:AA211" si="23">IF(C27&lt;&gt;"",R210-C27,"")</f>
        <v/>
      </c>
      <c r="S211" s="423" t="str">
        <f t="shared" si="23"/>
        <v/>
      </c>
      <c r="T211" s="423" t="str">
        <f t="shared" si="23"/>
        <v/>
      </c>
      <c r="U211" s="423" t="str">
        <f t="shared" si="23"/>
        <v/>
      </c>
      <c r="V211" s="423" t="str">
        <f t="shared" si="23"/>
        <v/>
      </c>
      <c r="W211" s="423" t="str">
        <f t="shared" si="23"/>
        <v/>
      </c>
      <c r="X211" s="423" t="str">
        <f t="shared" si="23"/>
        <v/>
      </c>
      <c r="Y211" s="423" t="str">
        <f t="shared" si="23"/>
        <v/>
      </c>
      <c r="Z211" s="423" t="str">
        <f t="shared" si="23"/>
        <v/>
      </c>
      <c r="AA211" s="423" t="str">
        <f t="shared" si="23"/>
        <v/>
      </c>
    </row>
    <row r="212" spans="16:27">
      <c r="Q212" s="1" t="s">
        <v>580</v>
      </c>
      <c r="R212" s="421" t="str">
        <f t="shared" ref="R212:AA212" si="24">IF(C24&lt;&gt;"",MIN(C24:C26),"")</f>
        <v/>
      </c>
      <c r="S212" s="421" t="str">
        <f t="shared" si="24"/>
        <v/>
      </c>
      <c r="T212" s="421" t="str">
        <f t="shared" si="24"/>
        <v/>
      </c>
      <c r="U212" s="421" t="str">
        <f t="shared" si="24"/>
        <v/>
      </c>
      <c r="V212" s="421" t="str">
        <f t="shared" si="24"/>
        <v/>
      </c>
      <c r="W212" s="421" t="str">
        <f t="shared" si="24"/>
        <v/>
      </c>
      <c r="X212" s="421" t="str">
        <f t="shared" si="24"/>
        <v/>
      </c>
      <c r="Y212" s="421" t="str">
        <f t="shared" si="24"/>
        <v/>
      </c>
      <c r="Z212" s="421" t="str">
        <f t="shared" si="24"/>
        <v/>
      </c>
      <c r="AA212" s="421" t="str">
        <f t="shared" si="24"/>
        <v/>
      </c>
    </row>
    <row r="213" spans="16:27">
      <c r="Q213" s="274" t="s">
        <v>443</v>
      </c>
      <c r="R213" s="423" t="str">
        <f t="shared" ref="R213:AA213" si="25">IF(C27&lt;&gt;"",C27-R212,"")</f>
        <v/>
      </c>
      <c r="S213" s="423" t="str">
        <f t="shared" si="25"/>
        <v/>
      </c>
      <c r="T213" s="423" t="str">
        <f t="shared" si="25"/>
        <v/>
      </c>
      <c r="U213" s="423" t="str">
        <f t="shared" si="25"/>
        <v/>
      </c>
      <c r="V213" s="423" t="str">
        <f t="shared" si="25"/>
        <v/>
      </c>
      <c r="W213" s="423" t="str">
        <f t="shared" si="25"/>
        <v/>
      </c>
      <c r="X213" s="423" t="str">
        <f t="shared" si="25"/>
        <v/>
      </c>
      <c r="Y213" s="423" t="str">
        <f t="shared" si="25"/>
        <v/>
      </c>
      <c r="Z213" s="423" t="str">
        <f t="shared" si="25"/>
        <v/>
      </c>
      <c r="AA213" s="423" t="str">
        <f t="shared" si="25"/>
        <v/>
      </c>
    </row>
    <row r="214" spans="16:27">
      <c r="P214" s="1" t="s">
        <v>527</v>
      </c>
      <c r="Q214" s="1" t="s">
        <v>578</v>
      </c>
      <c r="R214" s="421" t="str">
        <f t="shared" ref="R214:AA214" si="26">IF(C29&lt;&gt;"",MAX(C29:C31),"")</f>
        <v/>
      </c>
      <c r="S214" s="421" t="str">
        <f t="shared" si="26"/>
        <v/>
      </c>
      <c r="T214" s="421" t="str">
        <f t="shared" si="26"/>
        <v/>
      </c>
      <c r="U214" s="421" t="str">
        <f t="shared" si="26"/>
        <v/>
      </c>
      <c r="V214" s="421" t="str">
        <f t="shared" si="26"/>
        <v/>
      </c>
      <c r="W214" s="421" t="str">
        <f t="shared" si="26"/>
        <v/>
      </c>
      <c r="X214" s="421" t="str">
        <f t="shared" si="26"/>
        <v/>
      </c>
      <c r="Y214" s="421" t="str">
        <f t="shared" si="26"/>
        <v/>
      </c>
      <c r="Z214" s="421" t="str">
        <f t="shared" si="26"/>
        <v/>
      </c>
      <c r="AA214" s="421" t="str">
        <f t="shared" si="26"/>
        <v/>
      </c>
    </row>
    <row r="215" spans="16:27">
      <c r="Q215" s="274" t="s">
        <v>579</v>
      </c>
      <c r="R215" s="423" t="str">
        <f t="shared" ref="R215:AA215" si="27">IF(C32&lt;&gt;"",R214-C32,"")</f>
        <v/>
      </c>
      <c r="S215" s="423" t="str">
        <f t="shared" si="27"/>
        <v/>
      </c>
      <c r="T215" s="423" t="str">
        <f t="shared" si="27"/>
        <v/>
      </c>
      <c r="U215" s="423" t="str">
        <f t="shared" si="27"/>
        <v/>
      </c>
      <c r="V215" s="423" t="str">
        <f t="shared" si="27"/>
        <v/>
      </c>
      <c r="W215" s="423" t="str">
        <f t="shared" si="27"/>
        <v/>
      </c>
      <c r="X215" s="423" t="str">
        <f t="shared" si="27"/>
        <v/>
      </c>
      <c r="Y215" s="423" t="str">
        <f t="shared" si="27"/>
        <v/>
      </c>
      <c r="Z215" s="423" t="str">
        <f t="shared" si="27"/>
        <v/>
      </c>
      <c r="AA215" s="423" t="str">
        <f t="shared" si="27"/>
        <v/>
      </c>
    </row>
    <row r="216" spans="16:27">
      <c r="Q216" s="1" t="s">
        <v>580</v>
      </c>
      <c r="R216" s="421" t="str">
        <f t="shared" ref="R216:AA216" si="28">IF(C29&lt;&gt;"",MIN(C29:C31),"")</f>
        <v/>
      </c>
      <c r="S216" s="421" t="str">
        <f t="shared" si="28"/>
        <v/>
      </c>
      <c r="T216" s="421" t="str">
        <f t="shared" si="28"/>
        <v/>
      </c>
      <c r="U216" s="421" t="str">
        <f t="shared" si="28"/>
        <v/>
      </c>
      <c r="V216" s="421" t="str">
        <f t="shared" si="28"/>
        <v/>
      </c>
      <c r="W216" s="421" t="str">
        <f t="shared" si="28"/>
        <v/>
      </c>
      <c r="X216" s="421" t="str">
        <f t="shared" si="28"/>
        <v/>
      </c>
      <c r="Y216" s="421" t="str">
        <f t="shared" si="28"/>
        <v/>
      </c>
      <c r="Z216" s="421" t="str">
        <f t="shared" si="28"/>
        <v/>
      </c>
      <c r="AA216" s="421" t="str">
        <f t="shared" si="28"/>
        <v/>
      </c>
    </row>
    <row r="217" spans="16:27">
      <c r="Q217" s="274" t="s">
        <v>443</v>
      </c>
      <c r="R217" s="423" t="str">
        <f t="shared" ref="R217:AA217" si="29">IF(C32&lt;&gt;"",C32-R216,"")</f>
        <v/>
      </c>
      <c r="S217" s="423" t="str">
        <f t="shared" si="29"/>
        <v/>
      </c>
      <c r="T217" s="423" t="str">
        <f t="shared" si="29"/>
        <v/>
      </c>
      <c r="U217" s="423" t="str">
        <f t="shared" si="29"/>
        <v/>
      </c>
      <c r="V217" s="423" t="str">
        <f t="shared" si="29"/>
        <v/>
      </c>
      <c r="W217" s="423" t="str">
        <f t="shared" si="29"/>
        <v/>
      </c>
      <c r="X217" s="423" t="str">
        <f t="shared" si="29"/>
        <v/>
      </c>
      <c r="Y217" s="423" t="str">
        <f t="shared" si="29"/>
        <v/>
      </c>
      <c r="Z217" s="423" t="str">
        <f t="shared" si="29"/>
        <v/>
      </c>
      <c r="AA217" s="423" t="str">
        <f t="shared" si="29"/>
        <v/>
      </c>
    </row>
    <row r="243" spans="2:61">
      <c r="B243" s="1" t="s">
        <v>556</v>
      </c>
      <c r="D243" s="113"/>
      <c r="E243" s="113"/>
      <c r="F243" s="113"/>
      <c r="G243" s="113"/>
      <c r="H243" s="113"/>
      <c r="I243" s="113"/>
      <c r="J243" s="113"/>
      <c r="K243" s="113"/>
      <c r="L243" s="113"/>
      <c r="M243" s="113"/>
    </row>
    <row r="244" spans="2:61">
      <c r="D244" s="225"/>
      <c r="E244" s="225"/>
      <c r="F244" s="225"/>
      <c r="G244" s="225"/>
      <c r="H244" s="225"/>
      <c r="I244" s="225"/>
      <c r="J244" s="225"/>
      <c r="K244" s="225"/>
      <c r="L244" s="225"/>
      <c r="M244" s="225"/>
    </row>
    <row r="247" spans="2:61">
      <c r="P247" s="1" t="s">
        <v>557</v>
      </c>
    </row>
    <row r="248" spans="2:61">
      <c r="U248" s="1" t="s">
        <v>509</v>
      </c>
      <c r="AD248" s="1" t="s">
        <v>510</v>
      </c>
      <c r="AM248" s="1" t="s">
        <v>511</v>
      </c>
      <c r="AV248" s="1" t="s">
        <v>512</v>
      </c>
      <c r="BE248" s="1" t="s">
        <v>513</v>
      </c>
    </row>
    <row r="249" spans="2:61">
      <c r="Q249" s="1" t="s">
        <v>566</v>
      </c>
      <c r="R249" s="1" t="s">
        <v>567</v>
      </c>
      <c r="S249" s="1" t="s">
        <v>568</v>
      </c>
      <c r="T249" s="1" t="s">
        <v>569</v>
      </c>
      <c r="U249" s="1" t="s">
        <v>570</v>
      </c>
      <c r="V249" s="1" t="s">
        <v>571</v>
      </c>
      <c r="W249" s="1" t="s">
        <v>572</v>
      </c>
      <c r="X249" s="1" t="s">
        <v>573</v>
      </c>
      <c r="Y249" s="1" t="s">
        <v>574</v>
      </c>
      <c r="Z249" s="1" t="s">
        <v>566</v>
      </c>
      <c r="AA249" s="1" t="s">
        <v>567</v>
      </c>
      <c r="AB249" s="1" t="s">
        <v>568</v>
      </c>
      <c r="AC249" s="1" t="s">
        <v>569</v>
      </c>
      <c r="AD249" s="1" t="s">
        <v>570</v>
      </c>
      <c r="AE249" s="1" t="s">
        <v>571</v>
      </c>
      <c r="AF249" s="1" t="s">
        <v>572</v>
      </c>
      <c r="AG249" s="1" t="s">
        <v>573</v>
      </c>
      <c r="AH249" s="1" t="s">
        <v>574</v>
      </c>
      <c r="AI249" s="1" t="s">
        <v>566</v>
      </c>
      <c r="AJ249" s="1" t="s">
        <v>567</v>
      </c>
      <c r="AK249" s="1" t="s">
        <v>568</v>
      </c>
      <c r="AL249" s="1" t="s">
        <v>569</v>
      </c>
      <c r="AM249" s="1" t="s">
        <v>570</v>
      </c>
      <c r="AN249" s="1" t="s">
        <v>571</v>
      </c>
      <c r="AO249" s="1" t="s">
        <v>572</v>
      </c>
      <c r="AP249" s="1" t="s">
        <v>573</v>
      </c>
      <c r="AQ249" s="1" t="s">
        <v>574</v>
      </c>
      <c r="AR249" s="1" t="s">
        <v>566</v>
      </c>
      <c r="AS249" s="1" t="s">
        <v>567</v>
      </c>
      <c r="AT249" s="1" t="s">
        <v>568</v>
      </c>
      <c r="AU249" s="1" t="s">
        <v>569</v>
      </c>
      <c r="AV249" s="1" t="s">
        <v>570</v>
      </c>
      <c r="AW249" s="1" t="s">
        <v>571</v>
      </c>
      <c r="AX249" s="1" t="s">
        <v>572</v>
      </c>
      <c r="AY249" s="1" t="s">
        <v>573</v>
      </c>
      <c r="AZ249" s="1" t="s">
        <v>574</v>
      </c>
      <c r="BA249" s="1" t="s">
        <v>566</v>
      </c>
      <c r="BB249" s="1" t="s">
        <v>567</v>
      </c>
      <c r="BC249" s="1" t="s">
        <v>568</v>
      </c>
      <c r="BD249" s="1" t="s">
        <v>569</v>
      </c>
      <c r="BE249" s="1" t="s">
        <v>570</v>
      </c>
      <c r="BF249" s="1" t="s">
        <v>571</v>
      </c>
      <c r="BG249" s="1" t="s">
        <v>572</v>
      </c>
      <c r="BH249" s="1" t="s">
        <v>573</v>
      </c>
      <c r="BI249" s="1" t="s">
        <v>574</v>
      </c>
    </row>
    <row r="250" spans="2:61">
      <c r="P250" s="11" t="s">
        <v>575</v>
      </c>
      <c r="Q250" s="274" t="str">
        <f>IF(C19&lt;&gt;"",C19-C35,"")</f>
        <v/>
      </c>
      <c r="R250" s="1" t="str">
        <f>IF(C20&lt;&gt;"",C20-C35,"")</f>
        <v/>
      </c>
      <c r="S250" s="1" t="str">
        <f>IF(C21&lt;&gt;"",C21-C35,"")</f>
        <v/>
      </c>
      <c r="Z250" s="1" t="str">
        <f>IF(D19&lt;&gt;"",D19-D35,"")</f>
        <v/>
      </c>
      <c r="AA250" s="1" t="str">
        <f>IF(D20&lt;&gt;"",D20-D35,"")</f>
        <v/>
      </c>
      <c r="AB250" s="1" t="str">
        <f>IF(D21&lt;&gt;"",D21-D35,"")</f>
        <v/>
      </c>
      <c r="AI250" s="1" t="str">
        <f>IF(E19&lt;&gt;"",E19-E35,"")</f>
        <v/>
      </c>
      <c r="AJ250" s="1" t="str">
        <f>IF(E20&lt;&gt;"",E20-E35,"")</f>
        <v/>
      </c>
      <c r="AK250" s="1" t="str">
        <f>IF(E21&lt;&gt;"",E21-E35,"")</f>
        <v/>
      </c>
      <c r="AR250" s="1" t="str">
        <f>IF(F19&lt;&gt;"",F19-F35,"")</f>
        <v/>
      </c>
      <c r="AS250" s="1" t="str">
        <f>IF(F20&lt;&gt;"",F20-F35,"")</f>
        <v/>
      </c>
      <c r="AT250" s="1" t="str">
        <f>IF(F21&lt;&gt;"",F21-F35,"")</f>
        <v/>
      </c>
      <c r="BA250" s="1" t="str">
        <f>IF(G19&lt;&gt;"",G19-G35,"")</f>
        <v/>
      </c>
      <c r="BB250" s="1" t="str">
        <f>IF(G20&lt;&gt;"",G20-G35,"")</f>
        <v/>
      </c>
      <c r="BC250" s="1" t="str">
        <f>IF(G21&lt;&gt;"",G21-G35,"")</f>
        <v/>
      </c>
    </row>
    <row r="251" spans="2:61">
      <c r="P251" s="11" t="s">
        <v>576</v>
      </c>
      <c r="T251" s="274" t="str">
        <f>IF(C24&lt;&gt;"",C24-C35,"")</f>
        <v/>
      </c>
      <c r="U251" s="274" t="str">
        <f>IF(C25&lt;&gt;"",C25-C35,"")</f>
        <v/>
      </c>
      <c r="V251" s="274" t="str">
        <f>IF(C26&lt;&gt;"",C26-C35,"")</f>
        <v/>
      </c>
      <c r="AC251" s="274" t="str">
        <f>IF(D24&lt;&gt;"",D24-D35,"")</f>
        <v/>
      </c>
      <c r="AD251" s="274" t="str">
        <f>IF(D25&lt;&gt;"",D25-D35,"")</f>
        <v/>
      </c>
      <c r="AE251" s="274" t="str">
        <f>IF(D26&lt;&gt;"",D26-D35,"")</f>
        <v/>
      </c>
      <c r="AL251" s="274" t="str">
        <f>IF(E24&lt;&gt;"",E24-E35,"")</f>
        <v/>
      </c>
      <c r="AM251" s="274" t="str">
        <f>IF(E25&lt;&gt;"",E25-E35,"")</f>
        <v/>
      </c>
      <c r="AN251" s="274" t="str">
        <f>IF(E26&lt;&gt;"",E26-E35,"")</f>
        <v/>
      </c>
      <c r="AU251" s="274" t="str">
        <f>IF(F24&lt;&gt;"",F24-F35,"")</f>
        <v/>
      </c>
      <c r="AV251" s="274" t="str">
        <f>IF(F25&lt;&gt;"",F25-F35,"")</f>
        <v/>
      </c>
      <c r="AW251" s="274" t="str">
        <f>IF(F26&lt;&gt;"",F26-F35,"")</f>
        <v/>
      </c>
      <c r="BD251" s="274" t="str">
        <f>IF(G24&lt;&gt;"",G24-G35,"")</f>
        <v/>
      </c>
      <c r="BE251" s="274" t="str">
        <f>IF(G25&lt;&gt;"",G25-G35,"")</f>
        <v/>
      </c>
      <c r="BF251" s="274" t="str">
        <f>IF(G26&lt;&gt;"",G26-G35,"")</f>
        <v/>
      </c>
    </row>
    <row r="252" spans="2:61">
      <c r="P252" s="11" t="s">
        <v>577</v>
      </c>
      <c r="W252" s="274" t="str">
        <f>IF(C29&lt;&gt;"",C29-C35,"")</f>
        <v/>
      </c>
      <c r="X252" s="274" t="str">
        <f>IF(C30&lt;&gt;"",C30-C35,"")</f>
        <v/>
      </c>
      <c r="Y252" s="274" t="str">
        <f>IF(C31&lt;&gt;"",C31-C35,"")</f>
        <v/>
      </c>
      <c r="AF252" s="274" t="str">
        <f>IF(D29&lt;&gt;"",D29-D35,"")</f>
        <v/>
      </c>
      <c r="AG252" s="274" t="str">
        <f>IF(D30&lt;&gt;"",D30-D35,"")</f>
        <v/>
      </c>
      <c r="AH252" s="274" t="str">
        <f>IF(D31&lt;&gt;"",D31-D35,"")</f>
        <v/>
      </c>
      <c r="AO252" s="274" t="str">
        <f>IF(E29&lt;&gt;"",E29-E35,"")</f>
        <v/>
      </c>
      <c r="AP252" s="274" t="str">
        <f>IF(E30&lt;&gt;"",E30-E35,"")</f>
        <v/>
      </c>
      <c r="AQ252" s="274" t="str">
        <f>IF(E31&lt;&gt;"",E31-E35,"")</f>
        <v/>
      </c>
      <c r="AX252" s="274" t="str">
        <f>IF(F29&lt;&gt;"",F29-F35,"")</f>
        <v/>
      </c>
      <c r="AY252" s="274" t="str">
        <f>IF(F30&lt;&gt;"",F30-F35,"")</f>
        <v/>
      </c>
      <c r="AZ252" s="274" t="str">
        <f>IF(F31&lt;&gt;"",F31-F35,"")</f>
        <v/>
      </c>
      <c r="BG252" s="274" t="str">
        <f>IF(G29&lt;&gt;"",G29-G35,"")</f>
        <v/>
      </c>
      <c r="BH252" s="274" t="str">
        <f>IF(G30&lt;&gt;"",G30-G35,"")</f>
        <v/>
      </c>
      <c r="BI252" s="274" t="str">
        <f>IF(G31&lt;&gt;"",G31-G35,"")</f>
        <v/>
      </c>
    </row>
    <row r="254" spans="2:61">
      <c r="U254" s="1" t="s">
        <v>514</v>
      </c>
      <c r="AD254" s="1" t="s">
        <v>515</v>
      </c>
      <c r="AM254" s="1" t="s">
        <v>516</v>
      </c>
      <c r="AV254" s="1" t="s">
        <v>517</v>
      </c>
      <c r="BE254" s="1" t="s">
        <v>518</v>
      </c>
    </row>
    <row r="255" spans="2:61">
      <c r="Q255" s="1" t="s">
        <v>566</v>
      </c>
      <c r="R255" s="1" t="s">
        <v>567</v>
      </c>
      <c r="S255" s="1" t="s">
        <v>568</v>
      </c>
      <c r="T255" s="1" t="s">
        <v>569</v>
      </c>
      <c r="U255" s="1" t="s">
        <v>570</v>
      </c>
      <c r="V255" s="1" t="s">
        <v>571</v>
      </c>
      <c r="W255" s="1" t="s">
        <v>572</v>
      </c>
      <c r="X255" s="1" t="s">
        <v>573</v>
      </c>
      <c r="Y255" s="1" t="s">
        <v>574</v>
      </c>
      <c r="Z255" s="1" t="s">
        <v>566</v>
      </c>
      <c r="AA255" s="1" t="s">
        <v>567</v>
      </c>
      <c r="AB255" s="1" t="s">
        <v>568</v>
      </c>
      <c r="AC255" s="1" t="s">
        <v>569</v>
      </c>
      <c r="AD255" s="1" t="s">
        <v>570</v>
      </c>
      <c r="AE255" s="1" t="s">
        <v>571</v>
      </c>
      <c r="AF255" s="1" t="s">
        <v>572</v>
      </c>
      <c r="AG255" s="1" t="s">
        <v>573</v>
      </c>
      <c r="AH255" s="1" t="s">
        <v>574</v>
      </c>
      <c r="AI255" s="1" t="s">
        <v>566</v>
      </c>
      <c r="AJ255" s="1" t="s">
        <v>567</v>
      </c>
      <c r="AK255" s="1" t="s">
        <v>568</v>
      </c>
      <c r="AL255" s="1" t="s">
        <v>569</v>
      </c>
      <c r="AM255" s="1" t="s">
        <v>570</v>
      </c>
      <c r="AN255" s="1" t="s">
        <v>571</v>
      </c>
      <c r="AO255" s="1" t="s">
        <v>572</v>
      </c>
      <c r="AP255" s="1" t="s">
        <v>573</v>
      </c>
      <c r="AQ255" s="1" t="s">
        <v>574</v>
      </c>
      <c r="AR255" s="1" t="s">
        <v>566</v>
      </c>
      <c r="AS255" s="1" t="s">
        <v>567</v>
      </c>
      <c r="AT255" s="1" t="s">
        <v>568</v>
      </c>
      <c r="AU255" s="1" t="s">
        <v>569</v>
      </c>
      <c r="AV255" s="1" t="s">
        <v>570</v>
      </c>
      <c r="AW255" s="1" t="s">
        <v>571</v>
      </c>
      <c r="AX255" s="1" t="s">
        <v>572</v>
      </c>
      <c r="AY255" s="1" t="s">
        <v>573</v>
      </c>
      <c r="AZ255" s="1" t="s">
        <v>574</v>
      </c>
      <c r="BA255" s="1" t="s">
        <v>566</v>
      </c>
      <c r="BB255" s="1" t="s">
        <v>567</v>
      </c>
      <c r="BC255" s="1" t="s">
        <v>568</v>
      </c>
      <c r="BD255" s="1" t="s">
        <v>569</v>
      </c>
      <c r="BE255" s="1" t="s">
        <v>570</v>
      </c>
      <c r="BF255" s="1" t="s">
        <v>571</v>
      </c>
      <c r="BG255" s="1" t="s">
        <v>572</v>
      </c>
      <c r="BH255" s="1" t="s">
        <v>573</v>
      </c>
      <c r="BI255" s="1" t="s">
        <v>574</v>
      </c>
    </row>
    <row r="256" spans="2:61">
      <c r="P256" s="11" t="s">
        <v>575</v>
      </c>
      <c r="Q256" s="1" t="str">
        <f>IF(H19&lt;&gt;"",H19-H35,"")</f>
        <v/>
      </c>
      <c r="R256" s="1" t="str">
        <f>IF(H20&lt;&gt;"",H20-H35,"")</f>
        <v/>
      </c>
      <c r="S256" s="1" t="str">
        <f>IF(H21&lt;&gt;"",H21-H35,"")</f>
        <v/>
      </c>
      <c r="Z256" s="1" t="str">
        <f>IF(I19&lt;&gt;"",I19-I35,"")</f>
        <v/>
      </c>
      <c r="AA256" s="1" t="str">
        <f>IF(I20&lt;&gt;"",I20-I35,"")</f>
        <v/>
      </c>
      <c r="AB256" s="1" t="str">
        <f>IF(I21&lt;&gt;"",I21-I35,"")</f>
        <v/>
      </c>
      <c r="AI256" s="1" t="str">
        <f>IF(J19&lt;&gt;"",J19-J35,"")</f>
        <v/>
      </c>
      <c r="AJ256" s="1" t="str">
        <f>IF(J20&lt;&gt;"",J20-J35,"")</f>
        <v/>
      </c>
      <c r="AK256" s="1" t="str">
        <f>IF(J21&lt;&gt;"",J21-J35,"")</f>
        <v/>
      </c>
      <c r="AR256" s="1" t="str">
        <f>IF(K19&lt;&gt;"",K19-K35,"")</f>
        <v/>
      </c>
      <c r="AS256" s="1" t="str">
        <f>IF(K20&lt;&gt;"",K20-K35,"")</f>
        <v/>
      </c>
      <c r="AT256" s="1" t="str">
        <f>IF(K21&lt;&gt;"",K21-K35,"")</f>
        <v/>
      </c>
      <c r="BA256" s="1" t="str">
        <f>IF(L19&lt;&gt;"",L19-L35,"")</f>
        <v/>
      </c>
      <c r="BB256" s="1" t="str">
        <f>IF(L20&lt;&gt;"",L20-L35,"")</f>
        <v/>
      </c>
      <c r="BC256" s="1" t="str">
        <f>IF(L21&lt;&gt;"",L21-L35,"")</f>
        <v/>
      </c>
    </row>
    <row r="257" spans="16:61">
      <c r="P257" s="11" t="s">
        <v>576</v>
      </c>
      <c r="T257" s="274" t="str">
        <f>IF(H24&lt;&gt;"",H24-H35,"")</f>
        <v/>
      </c>
      <c r="U257" s="274" t="str">
        <f>IF(H25&lt;&gt;"",H25-H35,"")</f>
        <v/>
      </c>
      <c r="V257" s="274" t="str">
        <f>IF(H26&lt;&gt;"",H26-H35,"")</f>
        <v/>
      </c>
      <c r="AC257" s="274" t="str">
        <f>IF(I24&lt;&gt;"",I24-I35,"")</f>
        <v/>
      </c>
      <c r="AD257" s="274" t="str">
        <f>IF(I25&lt;&gt;"",I25-I35,"")</f>
        <v/>
      </c>
      <c r="AE257" s="274" t="str">
        <f>IF(I26&lt;&gt;"",I26-I35,"")</f>
        <v/>
      </c>
      <c r="AL257" s="274" t="str">
        <f>IF(J24&lt;&gt;"",J24-J35,"")</f>
        <v/>
      </c>
      <c r="AM257" s="274" t="str">
        <f>IF(J25&lt;&gt;"",J25-J35,"")</f>
        <v/>
      </c>
      <c r="AN257" s="274" t="str">
        <f>IF(J26&lt;&gt;"",J26-J35,"")</f>
        <v/>
      </c>
      <c r="AU257" s="274" t="str">
        <f>IF(K24&lt;&gt;"",K24-K35,"")</f>
        <v/>
      </c>
      <c r="AV257" s="274" t="str">
        <f>IF(K25&lt;&gt;"",K25-K35,"")</f>
        <v/>
      </c>
      <c r="AW257" s="274" t="str">
        <f>IF(K26&lt;&gt;"",K26-K35,"")</f>
        <v/>
      </c>
      <c r="BD257" s="274" t="str">
        <f>IF(L24&lt;&gt;"",L24-L35,"")</f>
        <v/>
      </c>
      <c r="BE257" s="274" t="str">
        <f>IF(L25&lt;&gt;"",L25-L35,"")</f>
        <v/>
      </c>
      <c r="BF257" s="274" t="str">
        <f>IF(L26&lt;&gt;"",L26-L35,"")</f>
        <v/>
      </c>
    </row>
    <row r="258" spans="16:61">
      <c r="P258" s="11" t="s">
        <v>577</v>
      </c>
      <c r="W258" s="274" t="str">
        <f>IF(H29&lt;&gt;"",H29-H35,"")</f>
        <v/>
      </c>
      <c r="X258" s="274" t="str">
        <f>IF(H30&lt;&gt;"",H30-H35,"")</f>
        <v/>
      </c>
      <c r="Y258" s="274" t="str">
        <f>IF(H31&lt;&gt;"",H31-H35,"")</f>
        <v/>
      </c>
      <c r="AF258" s="274" t="str">
        <f>IF(I29&lt;&gt;"",I29-I35,"")</f>
        <v/>
      </c>
      <c r="AG258" s="274" t="str">
        <f>IF(I30&lt;&gt;"",I30-I35,"")</f>
        <v/>
      </c>
      <c r="AH258" s="274" t="str">
        <f>IF(I31&lt;&gt;"",I31-I35,"")</f>
        <v/>
      </c>
      <c r="AO258" s="274" t="str">
        <f>IF(J29&lt;&gt;"",J29-J35,"")</f>
        <v/>
      </c>
      <c r="AP258" s="274" t="str">
        <f>IF(J30&lt;&gt;"",J30-J35,"")</f>
        <v/>
      </c>
      <c r="AQ258" s="274" t="str">
        <f>IF(J31&lt;&gt;"",J31-J35,"")</f>
        <v/>
      </c>
      <c r="AX258" s="274" t="str">
        <f>IF(K29&lt;&gt;"",K29-K35,"")</f>
        <v/>
      </c>
      <c r="AY258" s="274" t="str">
        <f>IF(K30&lt;&gt;"",K30-K35,"")</f>
        <v/>
      </c>
      <c r="AZ258" s="274" t="str">
        <f>IF(K31&lt;&gt;"",K31-K35,"")</f>
        <v/>
      </c>
      <c r="BG258" s="274" t="str">
        <f>IF(L29&lt;&gt;"",L29-L35,"")</f>
        <v/>
      </c>
      <c r="BH258" s="274" t="str">
        <f>IF(L30&lt;&gt;"",L30-L35,"")</f>
        <v/>
      </c>
      <c r="BI258" s="274" t="str">
        <f>IF(L31&lt;&gt;"",L31-L35,"")</f>
        <v/>
      </c>
    </row>
    <row r="285" spans="2:13">
      <c r="B285" s="1" t="s">
        <v>556</v>
      </c>
      <c r="D285" s="113"/>
      <c r="E285" s="113"/>
      <c r="F285" s="113"/>
      <c r="G285" s="113"/>
      <c r="H285" s="113"/>
      <c r="I285" s="113"/>
      <c r="J285" s="113"/>
      <c r="K285" s="113"/>
      <c r="L285" s="113"/>
      <c r="M285" s="113"/>
    </row>
    <row r="286" spans="2:13">
      <c r="D286" s="225"/>
      <c r="E286" s="225"/>
      <c r="F286" s="225"/>
      <c r="G286" s="225"/>
      <c r="H286" s="225"/>
      <c r="I286" s="225"/>
      <c r="J286" s="225"/>
      <c r="K286" s="225"/>
      <c r="L286" s="225"/>
      <c r="M286" s="225"/>
    </row>
    <row r="291" spans="16:38">
      <c r="P291" s="1" t="s">
        <v>581</v>
      </c>
    </row>
    <row r="293" spans="16:38">
      <c r="P293" s="1" t="s">
        <v>582</v>
      </c>
      <c r="R293" s="421">
        <v>-1</v>
      </c>
      <c r="S293" s="421">
        <f t="shared" ref="S293:AL293" si="30">R293+0.1</f>
        <v>-0.9</v>
      </c>
      <c r="T293" s="421">
        <f t="shared" si="30"/>
        <v>-0.8</v>
      </c>
      <c r="U293" s="421">
        <f t="shared" si="30"/>
        <v>-0.70000000000000007</v>
      </c>
      <c r="V293" s="421">
        <f t="shared" si="30"/>
        <v>-0.60000000000000009</v>
      </c>
      <c r="W293" s="421">
        <f t="shared" si="30"/>
        <v>-0.50000000000000011</v>
      </c>
      <c r="X293" s="421">
        <f t="shared" si="30"/>
        <v>-0.40000000000000013</v>
      </c>
      <c r="Y293" s="421">
        <f t="shared" si="30"/>
        <v>-0.30000000000000016</v>
      </c>
      <c r="Z293" s="421">
        <f t="shared" si="30"/>
        <v>-0.20000000000000015</v>
      </c>
      <c r="AA293" s="421">
        <f t="shared" si="30"/>
        <v>-0.10000000000000014</v>
      </c>
      <c r="AB293" s="421">
        <f t="shared" si="30"/>
        <v>-1.3877787807814457E-16</v>
      </c>
      <c r="AC293" s="421">
        <f t="shared" si="30"/>
        <v>9.9999999999999867E-2</v>
      </c>
      <c r="AD293" s="421">
        <f t="shared" si="30"/>
        <v>0.19999999999999987</v>
      </c>
      <c r="AE293" s="421">
        <f t="shared" si="30"/>
        <v>0.29999999999999988</v>
      </c>
      <c r="AF293" s="421">
        <f t="shared" si="30"/>
        <v>0.39999999999999991</v>
      </c>
      <c r="AG293" s="421">
        <f t="shared" si="30"/>
        <v>0.49999999999999989</v>
      </c>
      <c r="AH293" s="421">
        <f t="shared" si="30"/>
        <v>0.59999999999999987</v>
      </c>
      <c r="AI293" s="421">
        <f t="shared" si="30"/>
        <v>0.69999999999999984</v>
      </c>
      <c r="AJ293" s="421">
        <f t="shared" si="30"/>
        <v>0.79999999999999982</v>
      </c>
      <c r="AK293" s="421">
        <f t="shared" si="30"/>
        <v>0.8999999999999998</v>
      </c>
      <c r="AL293" s="421">
        <f t="shared" si="30"/>
        <v>0.99999999999999978</v>
      </c>
    </row>
    <row r="294" spans="16:38">
      <c r="P294" s="1" t="s">
        <v>438</v>
      </c>
      <c r="Q294" s="1" t="s">
        <v>519</v>
      </c>
      <c r="R294" s="274">
        <f>COUNTIF($Q250:$BI250,"&gt;-1")+COUNTIF($Q256:$BI256,"&gt;-1")-SUM(S294:AL294)</f>
        <v>0</v>
      </c>
      <c r="S294" s="274">
        <f>COUNTIF($Q250:$BI250,"&gt;-.9")+COUNTIF($Q256:$BI256,"&gt;-.9")-SUM(T294:AL294)</f>
        <v>0</v>
      </c>
      <c r="T294" s="274">
        <f>COUNTIF($Q250:$BI250,"&gt;-.8")+COUNTIF($Q256:$BI256,"&gt;-.8")-SUM(U294:AL294)</f>
        <v>0</v>
      </c>
      <c r="U294" s="274">
        <f>COUNTIF($Q250:$BI250,"&gt;-.7")+COUNTIF($Q256:$BI256,"&gt;-.7")-SUM(V294:AL294)</f>
        <v>0</v>
      </c>
      <c r="V294" s="274">
        <f>COUNTIF($Q250:$BI250,"&gt;-.6")+COUNTIF($Q256:$BI256,"&gt;-.6")-SUM(W294:AL294)</f>
        <v>0</v>
      </c>
      <c r="W294" s="274">
        <f>COUNTIF($Q250:$BI250,"&gt;-.5")+COUNTIF($Q256:$BI256,"&gt;-.5")-SUM(X294:AL294)</f>
        <v>0</v>
      </c>
      <c r="X294" s="274">
        <f>COUNTIF($Q250:$BI250,"&gt;-.4")+COUNTIF($Q256:$BI256,"&gt;-.4")-SUM(Y294:AL294)</f>
        <v>0</v>
      </c>
      <c r="Y294" s="274">
        <f>COUNTIF($Q250:$BI250,"&gt;-.3")+COUNTIF($Q256:$BI256,"&gt;-.3")-SUM(Z294:AL294)</f>
        <v>0</v>
      </c>
      <c r="Z294" s="274">
        <f>COUNTIF($Q250:$BI250,"&gt;-.2")+COUNTIF($Q256:$BI256,"&gt;-.2")-SUM(AA294:AL294)</f>
        <v>0</v>
      </c>
      <c r="AA294" s="274">
        <f>COUNTIF($Q250:$BI250,"&gt;-.1")+COUNTIF($Q256:$BI256,"&gt;-.1")-SUM(AB294:AL294)</f>
        <v>0</v>
      </c>
      <c r="AB294" s="274">
        <f>COUNTIF($Q250:$BI250,"&gt;-0")+COUNTIF($Q256:$BI256,"&gt;0")-SUM(AC294:AL294)</f>
        <v>0</v>
      </c>
      <c r="AC294" s="274">
        <f>COUNTIF($Q250:$BI250,"&gt;.1")+COUNTIF($Q256:$BI256,"&gt;.1")-SUM(AD294:AL294)</f>
        <v>0</v>
      </c>
      <c r="AD294" s="274">
        <f>COUNTIF($Q250:$BI250,"&gt;.2")+COUNTIF($Q256:$BI256,"&gt;.2")-SUM(AE294:AL294)</f>
        <v>0</v>
      </c>
      <c r="AE294" s="274">
        <f>COUNTIF($Q250:$BI250,"&gt;.3")+COUNTIF($Q256:$BI256,"&gt;.3")-SUM(AF294:AL294)</f>
        <v>0</v>
      </c>
      <c r="AF294" s="274">
        <f>COUNTIF($Q250:$BI250,"&gt;.4")+COUNTIF($Q256:$BI256,"&gt;.4")-SUM(AG294:AL294)</f>
        <v>0</v>
      </c>
      <c r="AG294" s="274">
        <f>COUNTIF($Q250:$BI250,"&gt;.5")+COUNTIF($Q256:$BI256,"&gt;.5")-SUM(AH294:AL294)</f>
        <v>0</v>
      </c>
      <c r="AH294" s="274">
        <f>COUNTIF($Q250:$BI250,"&gt;.6")+COUNTIF($Q256:$BI256,"&gt;.6")-SUM(AI294:AL294)</f>
        <v>0</v>
      </c>
      <c r="AI294" s="274">
        <f>COUNTIF($Q250:$BI250,"&gt;.7")+COUNTIF($Q256:$BI256,"&gt;.7")-SUM(AJ294:AL294)</f>
        <v>0</v>
      </c>
      <c r="AJ294" s="274">
        <f>COUNTIF($Q250:$BI250,"&gt;.8")+COUNTIF($Q256:$BI256,"&gt;.8")-SUM(AK294:AL294)</f>
        <v>0</v>
      </c>
      <c r="AK294" s="274">
        <f>COUNTIF($Q250:$BI250,"&gt;.9")+COUNTIF($Q256:$BI256,"&gt;.9")-SUM(AL294:AL294)</f>
        <v>0</v>
      </c>
      <c r="AL294" s="274">
        <f>COUNTIF($Q250:$BI250,"&gt;1")+COUNTIF($Q256:$BI256,"&gt;1")</f>
        <v>0</v>
      </c>
    </row>
    <row r="295" spans="16:38">
      <c r="Q295" s="1" t="s">
        <v>524</v>
      </c>
      <c r="R295" s="274">
        <f>COUNTIF($Q251:$BI251,"&gt;-1")+COUNTIF($Q257:$BI257,"&gt;-1")-SUM(S295:AL295)</f>
        <v>0</v>
      </c>
      <c r="S295" s="274">
        <f>COUNTIF($Q251:$BI251,"&gt;-.9")+COUNTIF($Q257:$BI257,"&gt;-.9")-SUM(T295:AL295)</f>
        <v>0</v>
      </c>
      <c r="T295" s="274">
        <f>COUNTIF($Q251:$BI251,"&gt;-.8")+COUNTIF($Q257:$BI257,"&gt;-.8")-SUM(U295:AL295)</f>
        <v>0</v>
      </c>
      <c r="U295" s="274">
        <f>COUNTIF($Q251:$BI251,"&gt;-.7")+COUNTIF($Q257:$BI257,"&gt;-.7")-SUM(V295:AL295)</f>
        <v>0</v>
      </c>
      <c r="V295" s="274">
        <f>COUNTIF($Q251:$BI251,"&gt;-.6")+COUNTIF($Q257:$BI257,"&gt;-.6")-SUM(W295:AL295)</f>
        <v>0</v>
      </c>
      <c r="W295" s="274">
        <f>COUNTIF($Q251:$BI251,"&gt;-.5")+COUNTIF($Q257:$BI257,"&gt;-.5")-SUM(X295:AL295)</f>
        <v>0</v>
      </c>
      <c r="X295" s="274">
        <f>COUNTIF($Q251:$BI251,"&gt;-.4")+COUNTIF($Q257:$BI257,"&gt;-.4")-SUM(Y295:AL295)</f>
        <v>0</v>
      </c>
      <c r="Y295" s="274">
        <f>COUNTIF($Q251:$BI251,"&gt;-.3")+COUNTIF($Q257:$BI257,"&gt;-.3")-SUM(Z295:AL295)</f>
        <v>0</v>
      </c>
      <c r="Z295" s="274">
        <f>COUNTIF($Q251:$BI251,"&gt;-.2")+COUNTIF($Q257:$BI257,"&gt;-.2")-SUM(AA295:AL295)</f>
        <v>0</v>
      </c>
      <c r="AA295" s="274">
        <f>COUNTIF($Q251:$BI251,"&gt;-.1")+COUNTIF($Q257:$BI257,"&gt;-.1")-SUM(AB295:AL295)</f>
        <v>0</v>
      </c>
      <c r="AB295" s="274">
        <f>COUNTIF($Q251:$BI251,"&gt;-0")+COUNTIF($Q257:$BI257,"&gt;0")-SUM(AC295:AL295)</f>
        <v>0</v>
      </c>
      <c r="AC295" s="274">
        <f>COUNTIF($Q251:$BI251,"&gt;.1")+COUNTIF($Q257:$BI257,"&gt;.1")-SUM(AD295:AL295)</f>
        <v>0</v>
      </c>
      <c r="AD295" s="274">
        <f>COUNTIF($Q251:$BI251,"&gt;.2")+COUNTIF($Q257:$BI257,"&gt;.2")-SUM(AE295:AL295)</f>
        <v>0</v>
      </c>
      <c r="AE295" s="274">
        <f>COUNTIF($Q251:$BI251,"&gt;.3")+COUNTIF($Q257:$BI257,"&gt;.3")-SUM(AF295:AL295)</f>
        <v>0</v>
      </c>
      <c r="AF295" s="274">
        <f>COUNTIF($Q251:$BI251,"&gt;.4")+COUNTIF($Q257:$BI257,"&gt;.4")-SUM(AG295:AL295)</f>
        <v>0</v>
      </c>
      <c r="AG295" s="274">
        <f>COUNTIF($Q251:$BI251,"&gt;.5")+COUNTIF($Q257:$BI257,"&gt;.5")-SUM(AH295:AL295)</f>
        <v>0</v>
      </c>
      <c r="AH295" s="274">
        <f>COUNTIF($Q251:$BI251,"&gt;.6")+COUNTIF($Q257:$BI257,"&gt;.6")-SUM(AI295:AL295)</f>
        <v>0</v>
      </c>
      <c r="AI295" s="274">
        <f>COUNTIF($Q251:$BI251,"&gt;.7")+COUNTIF($Q257:$BI257,"&gt;.7")-SUM(AJ295:AL295)</f>
        <v>0</v>
      </c>
      <c r="AJ295" s="274">
        <f>COUNTIF($Q251:$BI251,"&gt;.8")+COUNTIF($Q257:$BI257,"&gt;.8")-SUM(AK295:AL295)</f>
        <v>0</v>
      </c>
      <c r="AK295" s="274">
        <f>COUNTIF($Q251:$BI251,"&gt;.9")+COUNTIF($Q257:$BI257,"&gt;.9")-SUM(AL295:AL295)</f>
        <v>0</v>
      </c>
      <c r="AL295" s="274">
        <f>COUNTIF($Q251:$BI251,"&gt;1")+COUNTIF($Q257:$BI257,"&gt;1")</f>
        <v>0</v>
      </c>
    </row>
    <row r="296" spans="16:38">
      <c r="Q296" s="1" t="s">
        <v>527</v>
      </c>
      <c r="R296" s="274">
        <f>COUNTIF($Q252:$BI252,"&gt;-1")+COUNTIF($Q258:$BI258,"&gt;-1")-SUM(S296:AL296)</f>
        <v>0</v>
      </c>
      <c r="S296" s="274">
        <f>COUNTIF($Q252:$BI252,"&gt;-.9")+COUNTIF($Q258:$BI258,"&gt;-.9")-SUM(T296:AL296)</f>
        <v>0</v>
      </c>
      <c r="T296" s="274">
        <f>COUNTIF($Q252:$BI252,"&gt;-.8")+COUNTIF($Q258:$BI258,"&gt;-.8")-SUM(U296:AL296)</f>
        <v>0</v>
      </c>
      <c r="U296" s="274">
        <f>COUNTIF($Q252:$BI252,"&gt;-.7")+COUNTIF($Q258:$BI258,"&gt;-.7")-SUM(V296:AL296)</f>
        <v>0</v>
      </c>
      <c r="V296" s="274">
        <f>COUNTIF($Q252:$BI252,"&gt;-.6")+COUNTIF($Q258:$BI258,"&gt;-.6")-SUM(W296:AL296)</f>
        <v>0</v>
      </c>
      <c r="W296" s="274">
        <f>COUNTIF($Q252:$BI252,"&gt;-.5")+COUNTIF($Q258:$BI258,"&gt;-.5")-SUM(X296:AL296)</f>
        <v>0</v>
      </c>
      <c r="X296" s="274">
        <f>COUNTIF($Q252:$BI252,"&gt;-.4")+COUNTIF($Q258:$BI258,"&gt;-.4")-SUM(Y296:AL296)</f>
        <v>0</v>
      </c>
      <c r="Y296" s="274">
        <f>COUNTIF($Q252:$BI252,"&gt;-.3")+COUNTIF($Q258:$BI258,"&gt;-.3")-SUM(Z296:AL296)</f>
        <v>0</v>
      </c>
      <c r="Z296" s="274">
        <f>COUNTIF($Q252:$BI252,"&gt;-.2")+COUNTIF($Q258:$BI258,"&gt;-.2")-SUM(AA296:AL296)</f>
        <v>0</v>
      </c>
      <c r="AA296" s="274">
        <f>COUNTIF($Q252:$BI252,"&gt;-.1")+COUNTIF($Q258:$BI258,"&gt;-.1")-SUM(AB296:AL296)</f>
        <v>0</v>
      </c>
      <c r="AB296" s="274">
        <f>COUNTIF($Q252:$BI252,"&gt;-0")+COUNTIF($Q258:$BI258,"&gt;0")-SUM(AC296:AL296)</f>
        <v>0</v>
      </c>
      <c r="AC296" s="274">
        <f>COUNTIF($Q252:$BI252,"&gt;.1")+COUNTIF($Q258:$BI258,"&gt;.1")-SUM(AD296:AL296)</f>
        <v>0</v>
      </c>
      <c r="AD296" s="274">
        <f>COUNTIF($Q252:$BI252,"&gt;.2")+COUNTIF($Q258:$BI258,"&gt;.2")-SUM(AE296:AL296)</f>
        <v>0</v>
      </c>
      <c r="AE296" s="274">
        <f>COUNTIF($Q252:$BI252,"&gt;.3")+COUNTIF($Q258:$BI258,"&gt;.3")-SUM(AF296:AL296)</f>
        <v>0</v>
      </c>
      <c r="AF296" s="274">
        <f>COUNTIF($Q252:$BI252,"&gt;.4")+COUNTIF($Q258:$BI258,"&gt;.4")-SUM(AG296:AL296)</f>
        <v>0</v>
      </c>
      <c r="AG296" s="274">
        <f>COUNTIF($Q252:$BI252,"&gt;.5")+COUNTIF($Q258:$BI258,"&gt;.5")-SUM(AH296:AL296)</f>
        <v>0</v>
      </c>
      <c r="AH296" s="274">
        <f>COUNTIF($Q252:$BI252,"&gt;.6")+COUNTIF($Q258:$BI258,"&gt;.6")-SUM(AI296:AL296)</f>
        <v>0</v>
      </c>
      <c r="AI296" s="274">
        <f>COUNTIF($Q252:$BI252,"&gt;.7")+COUNTIF($Q258:$BI258,"&gt;.7")-SUM(AJ296:AL296)</f>
        <v>0</v>
      </c>
      <c r="AJ296" s="274">
        <f>COUNTIF($Q252:$BI252,"&gt;.8")+COUNTIF($Q258:$BI258,"&gt;.8")-SUM(AK296:AL296)</f>
        <v>0</v>
      </c>
      <c r="AK296" s="274">
        <f>COUNTIF($Q252:$BI252,"&gt;.9")+COUNTIF($Q258:$BI258,"&gt;.9")-SUM(AL296:AL296)</f>
        <v>0</v>
      </c>
      <c r="AL296" s="274">
        <f>COUNTIF($Q252:$BI252,"&gt;1")+COUNTIF($Q258:$BI258,"&gt;1")</f>
        <v>0</v>
      </c>
    </row>
    <row r="329" spans="2:16">
      <c r="B329" s="1" t="s">
        <v>556</v>
      </c>
      <c r="D329" s="113"/>
      <c r="E329" s="113"/>
      <c r="F329" s="113"/>
      <c r="G329" s="113"/>
      <c r="H329" s="113"/>
      <c r="I329" s="113"/>
      <c r="J329" s="113"/>
      <c r="K329" s="113"/>
      <c r="L329" s="113"/>
      <c r="M329" s="113"/>
    </row>
    <row r="330" spans="2:16">
      <c r="D330" s="225"/>
      <c r="E330" s="225"/>
      <c r="F330" s="225"/>
      <c r="G330" s="225"/>
      <c r="H330" s="225"/>
      <c r="I330" s="225"/>
      <c r="J330" s="225"/>
      <c r="K330" s="225"/>
      <c r="L330" s="225"/>
      <c r="M330" s="225"/>
    </row>
    <row r="334" spans="2:16">
      <c r="P334" s="1" t="s">
        <v>519</v>
      </c>
    </row>
    <row r="335" spans="2:16">
      <c r="P335" s="1" t="s">
        <v>524</v>
      </c>
    </row>
    <row r="336" spans="2:16">
      <c r="P336" s="1" t="s">
        <v>527</v>
      </c>
    </row>
    <row r="360" spans="2:13">
      <c r="B360" s="1" t="s">
        <v>556</v>
      </c>
      <c r="D360" s="113"/>
      <c r="E360" s="113"/>
      <c r="F360" s="113"/>
      <c r="G360" s="113"/>
      <c r="H360" s="113"/>
      <c r="I360" s="113"/>
      <c r="J360" s="113"/>
      <c r="K360" s="113"/>
      <c r="L360" s="113"/>
      <c r="M360" s="113"/>
    </row>
    <row r="361" spans="2:13">
      <c r="D361" s="225"/>
      <c r="E361" s="225"/>
      <c r="F361" s="225"/>
      <c r="G361" s="225"/>
      <c r="H361" s="225"/>
      <c r="I361" s="225"/>
      <c r="J361" s="225"/>
      <c r="K361" s="225"/>
      <c r="L361" s="225"/>
      <c r="M361" s="225"/>
    </row>
    <row r="434" spans="2:13">
      <c r="B434" s="1" t="s">
        <v>556</v>
      </c>
      <c r="D434" s="113"/>
      <c r="E434" s="113"/>
      <c r="F434" s="113"/>
      <c r="G434" s="113"/>
      <c r="H434" s="113"/>
      <c r="I434" s="113"/>
      <c r="J434" s="113"/>
      <c r="K434" s="113"/>
      <c r="L434" s="113"/>
      <c r="M434" s="113"/>
    </row>
    <row r="435" spans="2:13">
      <c r="D435" s="225"/>
      <c r="E435" s="225"/>
      <c r="F435" s="225"/>
      <c r="G435" s="225"/>
      <c r="H435" s="225"/>
      <c r="I435" s="225"/>
      <c r="J435" s="225"/>
      <c r="K435" s="225"/>
      <c r="L435" s="225"/>
      <c r="M435" s="225"/>
    </row>
  </sheetData>
  <mergeCells count="2">
    <mergeCell ref="A1:N4"/>
    <mergeCell ref="A9:C9"/>
  </mergeCells>
  <phoneticPr fontId="26" type="noConversion"/>
  <printOptions horizontalCentered="1" verticalCentered="1"/>
  <pageMargins left="0.25" right="0.25" top="0.41" bottom="0.8125" header="0.17" footer="0.16"/>
  <pageSetup fitToHeight="27" orientation="portrait" r:id="rId1"/>
  <headerFooter alignWithMargins="0">
    <oddFooter xml:space="preserve">&amp;L&amp;6&amp;Z&amp;F&amp;CQAI_6012 AAR Mobility PPAP Workbook
</oddFooter>
  </headerFooter>
  <rowBreaks count="11" manualBreakCount="11">
    <brk id="36" max="16383" man="1"/>
    <brk id="80" max="16383" man="1"/>
    <brk id="123" max="16383" man="1"/>
    <brk id="156" max="16383" man="1"/>
    <brk id="200" max="16383" man="1"/>
    <brk id="243" max="16383" man="1"/>
    <brk id="287" max="16383" man="1"/>
    <brk id="330" max="16383" man="1"/>
    <brk id="361" max="16383" man="1"/>
    <brk id="410" max="16383" man="1"/>
    <brk id="436" max="16383" man="1"/>
  </rowBreaks>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13"/>
    <pageSetUpPr fitToPage="1"/>
  </sheetPr>
  <dimension ref="A1:DQ115"/>
  <sheetViews>
    <sheetView zoomScaleNormal="100" workbookViewId="0">
      <selection activeCell="O21" sqref="O21"/>
    </sheetView>
  </sheetViews>
  <sheetFormatPr defaultColWidth="9.140625" defaultRowHeight="12.75"/>
  <cols>
    <col min="1" max="1" width="2.28515625" style="1" customWidth="1"/>
    <col min="2" max="2" width="6.28515625" style="1" customWidth="1"/>
    <col min="3" max="32" width="3.7109375" style="1" customWidth="1"/>
    <col min="33" max="33" width="9.140625" style="10"/>
    <col min="34" max="34" width="11.28515625" style="10" customWidth="1"/>
    <col min="35" max="64" width="6.5703125" style="10" customWidth="1"/>
    <col min="65" max="119" width="9.140625" style="10"/>
    <col min="120" max="16384" width="9.140625" style="1"/>
  </cols>
  <sheetData>
    <row r="1" spans="1:64">
      <c r="A1" s="1075" t="s">
        <v>583</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6"/>
      <c r="AA1" s="1076"/>
      <c r="AB1" s="1076"/>
      <c r="AC1" s="1076"/>
      <c r="AD1" s="1076"/>
      <c r="AE1" s="1076"/>
      <c r="AF1" s="1077"/>
    </row>
    <row r="2" spans="1:64">
      <c r="A2" s="1078"/>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c r="AB2" s="1079"/>
      <c r="AC2" s="1079"/>
      <c r="AD2" s="1079"/>
      <c r="AE2" s="1079"/>
      <c r="AF2" s="1080"/>
    </row>
    <row r="3" spans="1:64">
      <c r="A3" s="1078"/>
      <c r="B3" s="1079"/>
      <c r="C3" s="1079"/>
      <c r="D3" s="1079"/>
      <c r="E3" s="1079"/>
      <c r="F3" s="1079"/>
      <c r="G3" s="1079"/>
      <c r="H3" s="1079"/>
      <c r="I3" s="1079"/>
      <c r="J3" s="1079"/>
      <c r="K3" s="1079"/>
      <c r="L3" s="1079"/>
      <c r="M3" s="1079"/>
      <c r="N3" s="1079"/>
      <c r="O3" s="1079"/>
      <c r="P3" s="1079"/>
      <c r="Q3" s="1079"/>
      <c r="R3" s="1079"/>
      <c r="S3" s="1079"/>
      <c r="T3" s="1079"/>
      <c r="U3" s="1079"/>
      <c r="V3" s="1079"/>
      <c r="W3" s="1079"/>
      <c r="X3" s="1079"/>
      <c r="Y3" s="1079"/>
      <c r="Z3" s="1079"/>
      <c r="AA3" s="1079"/>
      <c r="AB3" s="1079"/>
      <c r="AC3" s="1079"/>
      <c r="AD3" s="1079"/>
      <c r="AE3" s="1079"/>
      <c r="AF3" s="1080"/>
    </row>
    <row r="4" spans="1:64" ht="24.75" customHeight="1" thickBot="1">
      <c r="A4" s="1081"/>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3"/>
    </row>
    <row r="5" spans="1:64" s="160" customFormat="1" ht="11.25">
      <c r="A5" s="1094" t="s">
        <v>716</v>
      </c>
      <c r="B5" s="1094"/>
      <c r="C5" s="1094"/>
      <c r="D5" s="1094"/>
      <c r="E5" s="1094"/>
      <c r="F5" s="1094"/>
      <c r="G5" s="1094"/>
      <c r="H5" s="1094"/>
      <c r="I5" s="1094"/>
      <c r="J5" s="1094"/>
      <c r="K5" s="1094"/>
      <c r="L5" s="1094"/>
      <c r="M5" s="1094"/>
      <c r="N5" s="1094"/>
      <c r="O5" s="1094"/>
      <c r="P5" s="1094"/>
      <c r="Q5" s="1094"/>
      <c r="R5" s="1094"/>
      <c r="S5" s="1095"/>
      <c r="T5" s="184" t="s">
        <v>584</v>
      </c>
      <c r="U5" s="12"/>
      <c r="V5" s="12"/>
      <c r="W5" s="12"/>
      <c r="X5" s="12"/>
      <c r="Y5" s="12"/>
      <c r="Z5" s="12"/>
      <c r="AA5" s="12"/>
      <c r="AB5" s="12"/>
      <c r="AC5" s="445"/>
      <c r="AD5" s="184" t="s">
        <v>585</v>
      </c>
      <c r="AE5" s="12"/>
      <c r="AF5" s="445"/>
    </row>
    <row r="6" spans="1:64">
      <c r="A6" s="1096" t="s">
        <v>586</v>
      </c>
      <c r="B6" s="1096"/>
      <c r="C6" s="1096"/>
      <c r="D6" s="1096"/>
      <c r="E6" s="1096"/>
      <c r="F6" s="1096"/>
      <c r="G6" s="1096"/>
      <c r="H6" s="1096"/>
      <c r="I6" s="1096"/>
      <c r="J6" s="1096"/>
      <c r="K6" s="1096"/>
      <c r="L6" s="1096"/>
      <c r="M6" s="1096"/>
      <c r="N6" s="1096"/>
      <c r="O6" s="1096"/>
      <c r="P6" s="1096"/>
      <c r="Q6" s="1096"/>
      <c r="R6" s="1096"/>
      <c r="S6" s="1097"/>
      <c r="T6" s="837" t="s">
        <v>869</v>
      </c>
      <c r="U6" s="838"/>
      <c r="V6" s="838"/>
      <c r="W6" s="838"/>
      <c r="X6" s="838"/>
      <c r="Y6" s="113"/>
      <c r="Z6" s="113"/>
      <c r="AA6" s="113"/>
      <c r="AB6" s="113"/>
      <c r="AC6" s="114"/>
      <c r="AD6" s="112"/>
      <c r="AE6" s="113"/>
      <c r="AF6" s="114"/>
    </row>
    <row r="7" spans="1:64" s="160" customFormat="1" ht="11.25">
      <c r="A7" s="161" t="s">
        <v>587</v>
      </c>
      <c r="B7" s="162"/>
      <c r="C7" s="162"/>
      <c r="D7" s="162"/>
      <c r="E7" s="162"/>
      <c r="F7" s="162"/>
      <c r="G7" s="162"/>
      <c r="H7" s="162"/>
      <c r="I7" s="162"/>
      <c r="J7" s="162"/>
      <c r="K7" s="162"/>
      <c r="L7" s="163"/>
      <c r="M7" s="161" t="s">
        <v>588</v>
      </c>
      <c r="N7" s="162"/>
      <c r="O7" s="162"/>
      <c r="P7" s="162"/>
      <c r="Q7" s="162"/>
      <c r="R7" s="162"/>
      <c r="S7" s="162"/>
      <c r="T7" s="162"/>
      <c r="U7" s="162"/>
      <c r="V7" s="162"/>
      <c r="W7" s="163"/>
      <c r="X7" s="161" t="s">
        <v>589</v>
      </c>
      <c r="Y7" s="162"/>
      <c r="Z7" s="162"/>
      <c r="AA7" s="162"/>
      <c r="AB7" s="162"/>
      <c r="AC7" s="162"/>
      <c r="AD7" s="162"/>
      <c r="AE7" s="162"/>
      <c r="AF7" s="163"/>
    </row>
    <row r="8" spans="1:64">
      <c r="A8" s="837" t="s">
        <v>869</v>
      </c>
      <c r="B8" s="838"/>
      <c r="C8" s="838"/>
      <c r="D8" s="838"/>
      <c r="E8" s="838"/>
      <c r="F8" s="113"/>
      <c r="G8" s="113"/>
      <c r="H8" s="113"/>
      <c r="I8" s="113"/>
      <c r="J8" s="113"/>
      <c r="K8" s="113"/>
      <c r="L8" s="114"/>
      <c r="M8" s="112"/>
      <c r="N8" s="113"/>
      <c r="O8" s="113"/>
      <c r="P8" s="113"/>
      <c r="Q8" s="113"/>
      <c r="R8" s="113"/>
      <c r="S8" s="113"/>
      <c r="T8" s="113"/>
      <c r="U8" s="113"/>
      <c r="V8" s="113"/>
      <c r="W8" s="114"/>
      <c r="X8" s="112"/>
      <c r="Y8" s="113"/>
      <c r="Z8" s="113"/>
      <c r="AA8" s="113"/>
      <c r="AB8" s="113"/>
      <c r="AC8" s="113"/>
      <c r="AD8" s="113"/>
      <c r="AE8" s="113"/>
      <c r="AF8" s="114"/>
    </row>
    <row r="9" spans="1:64" s="160" customFormat="1" ht="11.25">
      <c r="A9" s="161" t="s">
        <v>590</v>
      </c>
      <c r="B9" s="162"/>
      <c r="C9" s="162"/>
      <c r="D9" s="162"/>
      <c r="E9" s="161" t="s">
        <v>591</v>
      </c>
      <c r="F9" s="162"/>
      <c r="G9" s="162"/>
      <c r="H9" s="162"/>
      <c r="I9" s="163"/>
      <c r="J9" s="161" t="s">
        <v>592</v>
      </c>
      <c r="K9" s="162"/>
      <c r="L9" s="162"/>
      <c r="M9" s="162"/>
      <c r="N9" s="163"/>
      <c r="O9" s="161" t="s">
        <v>593</v>
      </c>
      <c r="P9" s="162"/>
      <c r="Q9" s="162"/>
      <c r="R9" s="163"/>
      <c r="S9" s="161" t="s">
        <v>594</v>
      </c>
      <c r="T9" s="162"/>
      <c r="U9" s="162"/>
      <c r="V9" s="163"/>
      <c r="W9" s="161" t="s">
        <v>595</v>
      </c>
      <c r="X9" s="162"/>
      <c r="Y9" s="162"/>
      <c r="Z9" s="162"/>
      <c r="AA9" s="163"/>
      <c r="AB9" s="161" t="s">
        <v>596</v>
      </c>
      <c r="AC9" s="162"/>
      <c r="AD9" s="162"/>
      <c r="AE9" s="162"/>
      <c r="AF9" s="163"/>
    </row>
    <row r="10" spans="1:64" s="255" customFormat="1">
      <c r="A10" s="112"/>
      <c r="B10" s="113"/>
      <c r="C10" s="113"/>
      <c r="D10" s="113"/>
      <c r="E10" s="112"/>
      <c r="F10" s="113"/>
      <c r="G10" s="113"/>
      <c r="H10" s="113"/>
      <c r="I10" s="114"/>
      <c r="J10" s="112"/>
      <c r="K10" s="113"/>
      <c r="L10" s="113"/>
      <c r="M10" s="113"/>
      <c r="N10" s="114"/>
      <c r="O10" s="112"/>
      <c r="P10" s="113"/>
      <c r="Q10" s="113"/>
      <c r="R10" s="114"/>
      <c r="S10" s="112"/>
      <c r="T10" s="113"/>
      <c r="U10" s="113"/>
      <c r="V10" s="114"/>
      <c r="W10" s="112"/>
      <c r="X10" s="113"/>
      <c r="Y10" s="113"/>
      <c r="Z10" s="113"/>
      <c r="AA10" s="114"/>
      <c r="AB10" s="112"/>
      <c r="AC10" s="113"/>
      <c r="AD10" s="113"/>
      <c r="AE10" s="113"/>
      <c r="AF10" s="114"/>
    </row>
    <row r="11" spans="1:64" ht="6.75" customHeight="1"/>
    <row r="12" spans="1:64">
      <c r="B12" s="446" t="s">
        <v>717</v>
      </c>
      <c r="C12" s="1084" t="str">
        <f>IF(C56&lt;&gt;"",AVERAGE(C62:AF62),"")</f>
        <v/>
      </c>
      <c r="D12" s="1084"/>
      <c r="E12" s="447"/>
      <c r="F12" s="448" t="s">
        <v>597</v>
      </c>
      <c r="G12" s="448"/>
      <c r="H12" s="1084" t="str">
        <f>IF(C12&lt;&gt;"",C12+AI20*C33,"")</f>
        <v/>
      </c>
      <c r="I12" s="1084"/>
      <c r="J12" s="447"/>
      <c r="K12" s="448" t="s">
        <v>598</v>
      </c>
      <c r="L12" s="448"/>
      <c r="M12" s="1084" t="str">
        <f>IF(C12&lt;&gt;"",C12-AI20*C33,"")</f>
        <v/>
      </c>
      <c r="N12" s="1092"/>
      <c r="S12" s="449" t="s">
        <v>599</v>
      </c>
      <c r="AH12" s="10" t="s">
        <v>600</v>
      </c>
    </row>
    <row r="13" spans="1:64">
      <c r="C13" s="421"/>
      <c r="D13" s="421"/>
      <c r="E13" s="421"/>
      <c r="F13" s="421"/>
      <c r="G13" s="421"/>
      <c r="H13" s="421"/>
      <c r="I13" s="421"/>
      <c r="J13" s="421"/>
      <c r="K13" s="421"/>
      <c r="L13" s="421"/>
      <c r="M13" s="421"/>
      <c r="N13" s="421"/>
    </row>
    <row r="14" spans="1:64">
      <c r="C14" s="421"/>
      <c r="D14" s="421"/>
      <c r="E14" s="421"/>
      <c r="F14" s="421"/>
      <c r="G14" s="421"/>
      <c r="H14" s="421"/>
      <c r="I14" s="421"/>
      <c r="J14" s="421"/>
      <c r="K14" s="421"/>
      <c r="L14" s="421"/>
      <c r="M14" s="421"/>
      <c r="N14" s="421"/>
      <c r="AH14" s="10" t="s">
        <v>601</v>
      </c>
      <c r="AI14" s="306">
        <v>1</v>
      </c>
      <c r="AJ14" s="306">
        <f t="shared" ref="AJ14:BL14" si="0">AI14+1</f>
        <v>2</v>
      </c>
      <c r="AK14" s="306">
        <f t="shared" si="0"/>
        <v>3</v>
      </c>
      <c r="AL14" s="306">
        <f t="shared" si="0"/>
        <v>4</v>
      </c>
      <c r="AM14" s="306">
        <f t="shared" si="0"/>
        <v>5</v>
      </c>
      <c r="AN14" s="306">
        <f t="shared" si="0"/>
        <v>6</v>
      </c>
      <c r="AO14" s="306">
        <f t="shared" si="0"/>
        <v>7</v>
      </c>
      <c r="AP14" s="306">
        <f t="shared" si="0"/>
        <v>8</v>
      </c>
      <c r="AQ14" s="306">
        <f t="shared" si="0"/>
        <v>9</v>
      </c>
      <c r="AR14" s="306">
        <f t="shared" si="0"/>
        <v>10</v>
      </c>
      <c r="AS14" s="306">
        <f t="shared" si="0"/>
        <v>11</v>
      </c>
      <c r="AT14" s="306">
        <f t="shared" si="0"/>
        <v>12</v>
      </c>
      <c r="AU14" s="306">
        <f t="shared" si="0"/>
        <v>13</v>
      </c>
      <c r="AV14" s="306">
        <f t="shared" si="0"/>
        <v>14</v>
      </c>
      <c r="AW14" s="306">
        <f t="shared" si="0"/>
        <v>15</v>
      </c>
      <c r="AX14" s="306">
        <f t="shared" si="0"/>
        <v>16</v>
      </c>
      <c r="AY14" s="306">
        <f t="shared" si="0"/>
        <v>17</v>
      </c>
      <c r="AZ14" s="306">
        <f t="shared" si="0"/>
        <v>18</v>
      </c>
      <c r="BA14" s="306">
        <f t="shared" si="0"/>
        <v>19</v>
      </c>
      <c r="BB14" s="306">
        <f t="shared" si="0"/>
        <v>20</v>
      </c>
      <c r="BC14" s="306">
        <f t="shared" si="0"/>
        <v>21</v>
      </c>
      <c r="BD14" s="306">
        <f t="shared" si="0"/>
        <v>22</v>
      </c>
      <c r="BE14" s="306">
        <f t="shared" si="0"/>
        <v>23</v>
      </c>
      <c r="BF14" s="306">
        <f t="shared" si="0"/>
        <v>24</v>
      </c>
      <c r="BG14" s="306">
        <f t="shared" si="0"/>
        <v>25</v>
      </c>
      <c r="BH14" s="306">
        <f t="shared" si="0"/>
        <v>26</v>
      </c>
      <c r="BI14" s="306">
        <f t="shared" si="0"/>
        <v>27</v>
      </c>
      <c r="BJ14" s="306">
        <f t="shared" si="0"/>
        <v>28</v>
      </c>
      <c r="BK14" s="306">
        <f t="shared" si="0"/>
        <v>29</v>
      </c>
      <c r="BL14" s="306">
        <f t="shared" si="0"/>
        <v>30</v>
      </c>
    </row>
    <row r="15" spans="1:64">
      <c r="C15" s="421"/>
      <c r="D15" s="421"/>
      <c r="E15" s="421"/>
      <c r="F15" s="421"/>
      <c r="G15" s="421"/>
      <c r="H15" s="421"/>
      <c r="I15" s="421"/>
      <c r="J15" s="421"/>
      <c r="K15" s="421"/>
      <c r="L15" s="421"/>
      <c r="M15" s="421"/>
      <c r="N15" s="421"/>
      <c r="AH15" s="10" t="s">
        <v>602</v>
      </c>
      <c r="AI15" s="450" t="str">
        <f t="shared" ref="AI15:BL15" si="1">$H$12</f>
        <v/>
      </c>
      <c r="AJ15" s="450" t="str">
        <f t="shared" si="1"/>
        <v/>
      </c>
      <c r="AK15" s="450" t="str">
        <f t="shared" si="1"/>
        <v/>
      </c>
      <c r="AL15" s="450" t="str">
        <f t="shared" si="1"/>
        <v/>
      </c>
      <c r="AM15" s="450" t="str">
        <f t="shared" si="1"/>
        <v/>
      </c>
      <c r="AN15" s="450" t="str">
        <f t="shared" si="1"/>
        <v/>
      </c>
      <c r="AO15" s="450" t="str">
        <f t="shared" si="1"/>
        <v/>
      </c>
      <c r="AP15" s="450" t="str">
        <f t="shared" si="1"/>
        <v/>
      </c>
      <c r="AQ15" s="450" t="str">
        <f t="shared" si="1"/>
        <v/>
      </c>
      <c r="AR15" s="450" t="str">
        <f t="shared" si="1"/>
        <v/>
      </c>
      <c r="AS15" s="450" t="str">
        <f t="shared" si="1"/>
        <v/>
      </c>
      <c r="AT15" s="450" t="str">
        <f t="shared" si="1"/>
        <v/>
      </c>
      <c r="AU15" s="450" t="str">
        <f t="shared" si="1"/>
        <v/>
      </c>
      <c r="AV15" s="450" t="str">
        <f t="shared" si="1"/>
        <v/>
      </c>
      <c r="AW15" s="450" t="str">
        <f t="shared" si="1"/>
        <v/>
      </c>
      <c r="AX15" s="450" t="str">
        <f t="shared" si="1"/>
        <v/>
      </c>
      <c r="AY15" s="450" t="str">
        <f t="shared" si="1"/>
        <v/>
      </c>
      <c r="AZ15" s="450" t="str">
        <f t="shared" si="1"/>
        <v/>
      </c>
      <c r="BA15" s="450" t="str">
        <f t="shared" si="1"/>
        <v/>
      </c>
      <c r="BB15" s="450" t="str">
        <f t="shared" si="1"/>
        <v/>
      </c>
      <c r="BC15" s="450" t="str">
        <f t="shared" si="1"/>
        <v/>
      </c>
      <c r="BD15" s="450" t="str">
        <f t="shared" si="1"/>
        <v/>
      </c>
      <c r="BE15" s="450" t="str">
        <f t="shared" si="1"/>
        <v/>
      </c>
      <c r="BF15" s="450" t="str">
        <f t="shared" si="1"/>
        <v/>
      </c>
      <c r="BG15" s="450" t="str">
        <f t="shared" si="1"/>
        <v/>
      </c>
      <c r="BH15" s="450" t="str">
        <f t="shared" si="1"/>
        <v/>
      </c>
      <c r="BI15" s="450" t="str">
        <f t="shared" si="1"/>
        <v/>
      </c>
      <c r="BJ15" s="450" t="str">
        <f t="shared" si="1"/>
        <v/>
      </c>
      <c r="BK15" s="450" t="str">
        <f t="shared" si="1"/>
        <v/>
      </c>
      <c r="BL15" s="450" t="str">
        <f t="shared" si="1"/>
        <v/>
      </c>
    </row>
    <row r="16" spans="1:64">
      <c r="C16" s="421"/>
      <c r="D16" s="421"/>
      <c r="E16" s="421"/>
      <c r="F16" s="421"/>
      <c r="G16" s="421"/>
      <c r="H16" s="421"/>
      <c r="I16" s="421"/>
      <c r="J16" s="421"/>
      <c r="K16" s="421"/>
      <c r="L16" s="421"/>
      <c r="M16" s="421"/>
      <c r="N16" s="421"/>
      <c r="AH16" s="10" t="s">
        <v>459</v>
      </c>
      <c r="AI16" s="450" t="str">
        <f t="shared" ref="AI16:BL16" si="2">$C$12</f>
        <v/>
      </c>
      <c r="AJ16" s="450" t="str">
        <f t="shared" si="2"/>
        <v/>
      </c>
      <c r="AK16" s="450" t="str">
        <f t="shared" si="2"/>
        <v/>
      </c>
      <c r="AL16" s="450" t="str">
        <f t="shared" si="2"/>
        <v/>
      </c>
      <c r="AM16" s="450" t="str">
        <f t="shared" si="2"/>
        <v/>
      </c>
      <c r="AN16" s="450" t="str">
        <f t="shared" si="2"/>
        <v/>
      </c>
      <c r="AO16" s="450" t="str">
        <f t="shared" si="2"/>
        <v/>
      </c>
      <c r="AP16" s="450" t="str">
        <f t="shared" si="2"/>
        <v/>
      </c>
      <c r="AQ16" s="450" t="str">
        <f t="shared" si="2"/>
        <v/>
      </c>
      <c r="AR16" s="450" t="str">
        <f t="shared" si="2"/>
        <v/>
      </c>
      <c r="AS16" s="450" t="str">
        <f t="shared" si="2"/>
        <v/>
      </c>
      <c r="AT16" s="450" t="str">
        <f t="shared" si="2"/>
        <v/>
      </c>
      <c r="AU16" s="450" t="str">
        <f t="shared" si="2"/>
        <v/>
      </c>
      <c r="AV16" s="450" t="str">
        <f t="shared" si="2"/>
        <v/>
      </c>
      <c r="AW16" s="450" t="str">
        <f t="shared" si="2"/>
        <v/>
      </c>
      <c r="AX16" s="450" t="str">
        <f t="shared" si="2"/>
        <v/>
      </c>
      <c r="AY16" s="450" t="str">
        <f t="shared" si="2"/>
        <v/>
      </c>
      <c r="AZ16" s="450" t="str">
        <f t="shared" si="2"/>
        <v/>
      </c>
      <c r="BA16" s="450" t="str">
        <f t="shared" si="2"/>
        <v/>
      </c>
      <c r="BB16" s="450" t="str">
        <f t="shared" si="2"/>
        <v/>
      </c>
      <c r="BC16" s="450" t="str">
        <f t="shared" si="2"/>
        <v/>
      </c>
      <c r="BD16" s="450" t="str">
        <f t="shared" si="2"/>
        <v/>
      </c>
      <c r="BE16" s="450" t="str">
        <f t="shared" si="2"/>
        <v/>
      </c>
      <c r="BF16" s="450" t="str">
        <f t="shared" si="2"/>
        <v/>
      </c>
      <c r="BG16" s="450" t="str">
        <f t="shared" si="2"/>
        <v/>
      </c>
      <c r="BH16" s="450" t="str">
        <f t="shared" si="2"/>
        <v/>
      </c>
      <c r="BI16" s="450" t="str">
        <f t="shared" si="2"/>
        <v/>
      </c>
      <c r="BJ16" s="450" t="str">
        <f t="shared" si="2"/>
        <v/>
      </c>
      <c r="BK16" s="450" t="str">
        <f t="shared" si="2"/>
        <v/>
      </c>
      <c r="BL16" s="450" t="str">
        <f t="shared" si="2"/>
        <v/>
      </c>
    </row>
    <row r="17" spans="3:64">
      <c r="C17" s="421"/>
      <c r="D17" s="421"/>
      <c r="E17" s="421"/>
      <c r="F17" s="421"/>
      <c r="G17" s="421"/>
      <c r="H17" s="421"/>
      <c r="I17" s="421"/>
      <c r="J17" s="421"/>
      <c r="K17" s="421"/>
      <c r="L17" s="421"/>
      <c r="M17" s="421"/>
      <c r="N17" s="421"/>
      <c r="AH17" s="10" t="s">
        <v>603</v>
      </c>
      <c r="AI17" s="450" t="str">
        <f>C62</f>
        <v/>
      </c>
      <c r="AJ17" s="450" t="str">
        <f t="shared" ref="AJ17:BL17" si="3">IF(D56&lt;&gt;"",D62,AJ16)</f>
        <v/>
      </c>
      <c r="AK17" s="450" t="str">
        <f t="shared" si="3"/>
        <v/>
      </c>
      <c r="AL17" s="450" t="str">
        <f t="shared" si="3"/>
        <v/>
      </c>
      <c r="AM17" s="450" t="str">
        <f t="shared" si="3"/>
        <v/>
      </c>
      <c r="AN17" s="450" t="str">
        <f t="shared" si="3"/>
        <v/>
      </c>
      <c r="AO17" s="450" t="str">
        <f t="shared" si="3"/>
        <v/>
      </c>
      <c r="AP17" s="450" t="str">
        <f t="shared" si="3"/>
        <v/>
      </c>
      <c r="AQ17" s="450" t="str">
        <f t="shared" si="3"/>
        <v/>
      </c>
      <c r="AR17" s="450" t="str">
        <f t="shared" si="3"/>
        <v/>
      </c>
      <c r="AS17" s="450" t="str">
        <f t="shared" si="3"/>
        <v/>
      </c>
      <c r="AT17" s="450" t="str">
        <f t="shared" si="3"/>
        <v/>
      </c>
      <c r="AU17" s="450" t="str">
        <f t="shared" si="3"/>
        <v/>
      </c>
      <c r="AV17" s="450" t="str">
        <f t="shared" si="3"/>
        <v/>
      </c>
      <c r="AW17" s="450" t="str">
        <f t="shared" si="3"/>
        <v/>
      </c>
      <c r="AX17" s="450" t="str">
        <f t="shared" si="3"/>
        <v/>
      </c>
      <c r="AY17" s="450" t="str">
        <f t="shared" si="3"/>
        <v/>
      </c>
      <c r="AZ17" s="450" t="str">
        <f t="shared" si="3"/>
        <v/>
      </c>
      <c r="BA17" s="450" t="str">
        <f t="shared" si="3"/>
        <v/>
      </c>
      <c r="BB17" s="450" t="str">
        <f t="shared" si="3"/>
        <v/>
      </c>
      <c r="BC17" s="450" t="str">
        <f t="shared" si="3"/>
        <v/>
      </c>
      <c r="BD17" s="450" t="str">
        <f t="shared" si="3"/>
        <v/>
      </c>
      <c r="BE17" s="450" t="str">
        <f t="shared" si="3"/>
        <v/>
      </c>
      <c r="BF17" s="450" t="str">
        <f t="shared" si="3"/>
        <v/>
      </c>
      <c r="BG17" s="450" t="str">
        <f t="shared" si="3"/>
        <v/>
      </c>
      <c r="BH17" s="450" t="str">
        <f t="shared" si="3"/>
        <v/>
      </c>
      <c r="BI17" s="450" t="str">
        <f t="shared" si="3"/>
        <v/>
      </c>
      <c r="BJ17" s="450" t="str">
        <f t="shared" si="3"/>
        <v/>
      </c>
      <c r="BK17" s="450" t="str">
        <f t="shared" si="3"/>
        <v/>
      </c>
      <c r="BL17" s="450" t="str">
        <f t="shared" si="3"/>
        <v/>
      </c>
    </row>
    <row r="18" spans="3:64">
      <c r="C18" s="421"/>
      <c r="D18" s="421"/>
      <c r="E18" s="421"/>
      <c r="F18" s="421"/>
      <c r="G18" s="421"/>
      <c r="H18" s="421"/>
      <c r="I18" s="421"/>
      <c r="J18" s="421"/>
      <c r="K18" s="421"/>
      <c r="L18" s="421"/>
      <c r="M18" s="421"/>
      <c r="N18" s="421"/>
      <c r="AH18" s="10" t="s">
        <v>604</v>
      </c>
      <c r="AI18" s="450" t="str">
        <f t="shared" ref="AI18:BL18" si="4">$M$12</f>
        <v/>
      </c>
      <c r="AJ18" s="450" t="str">
        <f t="shared" si="4"/>
        <v/>
      </c>
      <c r="AK18" s="450" t="str">
        <f t="shared" si="4"/>
        <v/>
      </c>
      <c r="AL18" s="450" t="str">
        <f t="shared" si="4"/>
        <v/>
      </c>
      <c r="AM18" s="450" t="str">
        <f t="shared" si="4"/>
        <v/>
      </c>
      <c r="AN18" s="450" t="str">
        <f t="shared" si="4"/>
        <v/>
      </c>
      <c r="AO18" s="450" t="str">
        <f t="shared" si="4"/>
        <v/>
      </c>
      <c r="AP18" s="450" t="str">
        <f t="shared" si="4"/>
        <v/>
      </c>
      <c r="AQ18" s="450" t="str">
        <f t="shared" si="4"/>
        <v/>
      </c>
      <c r="AR18" s="450" t="str">
        <f t="shared" si="4"/>
        <v/>
      </c>
      <c r="AS18" s="450" t="str">
        <f t="shared" si="4"/>
        <v/>
      </c>
      <c r="AT18" s="450" t="str">
        <f t="shared" si="4"/>
        <v/>
      </c>
      <c r="AU18" s="450" t="str">
        <f t="shared" si="4"/>
        <v/>
      </c>
      <c r="AV18" s="450" t="str">
        <f t="shared" si="4"/>
        <v/>
      </c>
      <c r="AW18" s="450" t="str">
        <f t="shared" si="4"/>
        <v/>
      </c>
      <c r="AX18" s="450" t="str">
        <f t="shared" si="4"/>
        <v/>
      </c>
      <c r="AY18" s="450" t="str">
        <f t="shared" si="4"/>
        <v/>
      </c>
      <c r="AZ18" s="450" t="str">
        <f t="shared" si="4"/>
        <v/>
      </c>
      <c r="BA18" s="450" t="str">
        <f t="shared" si="4"/>
        <v/>
      </c>
      <c r="BB18" s="450" t="str">
        <f t="shared" si="4"/>
        <v/>
      </c>
      <c r="BC18" s="450" t="str">
        <f t="shared" si="4"/>
        <v/>
      </c>
      <c r="BD18" s="450" t="str">
        <f t="shared" si="4"/>
        <v/>
      </c>
      <c r="BE18" s="450" t="str">
        <f t="shared" si="4"/>
        <v/>
      </c>
      <c r="BF18" s="450" t="str">
        <f t="shared" si="4"/>
        <v/>
      </c>
      <c r="BG18" s="450" t="str">
        <f t="shared" si="4"/>
        <v/>
      </c>
      <c r="BH18" s="450" t="str">
        <f t="shared" si="4"/>
        <v/>
      </c>
      <c r="BI18" s="450" t="str">
        <f t="shared" si="4"/>
        <v/>
      </c>
      <c r="BJ18" s="450" t="str">
        <f t="shared" si="4"/>
        <v/>
      </c>
      <c r="BK18" s="450" t="str">
        <f t="shared" si="4"/>
        <v/>
      </c>
      <c r="BL18" s="450" t="str">
        <f t="shared" si="4"/>
        <v/>
      </c>
    </row>
    <row r="19" spans="3:64">
      <c r="C19" s="421"/>
      <c r="D19" s="421"/>
      <c r="E19" s="421"/>
      <c r="F19" s="421"/>
      <c r="G19" s="421"/>
      <c r="H19" s="421"/>
      <c r="I19" s="421"/>
      <c r="J19" s="421"/>
      <c r="K19" s="421"/>
      <c r="L19" s="421"/>
      <c r="M19" s="421"/>
      <c r="N19" s="421"/>
    </row>
    <row r="20" spans="3:64" ht="15.75">
      <c r="C20" s="421"/>
      <c r="D20" s="421"/>
      <c r="E20" s="421"/>
      <c r="F20" s="421"/>
      <c r="G20" s="421"/>
      <c r="H20" s="421"/>
      <c r="I20" s="421"/>
      <c r="J20" s="421"/>
      <c r="K20" s="421"/>
      <c r="L20" s="421"/>
      <c r="M20" s="421"/>
      <c r="N20" s="421"/>
      <c r="AH20" s="10" t="s">
        <v>718</v>
      </c>
      <c r="AI20" s="10">
        <f>IF(COUNT(C56:C60)=5,0.577,IF(COUNT(C56:C60)=4,0.729,IF(COUNT(C56:C60)=3,1.023,1.88)))</f>
        <v>1.88</v>
      </c>
    </row>
    <row r="21" spans="3:64">
      <c r="C21" s="421"/>
      <c r="D21" s="421"/>
      <c r="E21" s="421"/>
      <c r="F21" s="421"/>
      <c r="G21" s="421"/>
      <c r="H21" s="421"/>
      <c r="I21" s="421"/>
      <c r="J21" s="421"/>
      <c r="K21" s="421"/>
      <c r="L21" s="421"/>
      <c r="M21" s="421"/>
      <c r="N21" s="421"/>
    </row>
    <row r="22" spans="3:64">
      <c r="C22" s="421"/>
      <c r="D22" s="421"/>
      <c r="E22" s="421"/>
      <c r="F22" s="421"/>
      <c r="G22" s="421"/>
      <c r="H22" s="421"/>
      <c r="I22" s="421"/>
      <c r="J22" s="421"/>
      <c r="K22" s="421"/>
      <c r="L22" s="421"/>
      <c r="M22" s="421"/>
      <c r="N22" s="421"/>
    </row>
    <row r="23" spans="3:64">
      <c r="C23" s="421"/>
      <c r="D23" s="421"/>
      <c r="E23" s="421"/>
      <c r="F23" s="421"/>
      <c r="G23" s="421"/>
      <c r="H23" s="421"/>
      <c r="I23" s="421"/>
      <c r="J23" s="421"/>
      <c r="K23" s="421"/>
      <c r="L23" s="421"/>
      <c r="M23" s="421"/>
      <c r="N23" s="421"/>
    </row>
    <row r="24" spans="3:64">
      <c r="C24" s="421"/>
      <c r="D24" s="421"/>
      <c r="E24" s="421"/>
      <c r="F24" s="421"/>
      <c r="G24" s="421"/>
      <c r="H24" s="421"/>
      <c r="I24" s="421"/>
      <c r="J24" s="421"/>
      <c r="K24" s="421"/>
      <c r="L24" s="421"/>
      <c r="M24" s="421"/>
      <c r="N24" s="421"/>
    </row>
    <row r="25" spans="3:64">
      <c r="C25" s="421"/>
      <c r="D25" s="421"/>
      <c r="E25" s="421"/>
      <c r="F25" s="421"/>
      <c r="G25" s="421"/>
      <c r="H25" s="421"/>
      <c r="I25" s="421"/>
      <c r="J25" s="421"/>
      <c r="K25" s="421"/>
      <c r="L25" s="421"/>
      <c r="M25" s="421"/>
      <c r="N25" s="421"/>
    </row>
    <row r="26" spans="3:64">
      <c r="C26" s="421"/>
      <c r="D26" s="421"/>
      <c r="E26" s="421"/>
      <c r="F26" s="421"/>
      <c r="G26" s="421"/>
      <c r="H26" s="421"/>
      <c r="I26" s="421"/>
      <c r="J26" s="421"/>
      <c r="K26" s="421"/>
      <c r="L26" s="421"/>
      <c r="M26" s="421"/>
      <c r="N26" s="421"/>
    </row>
    <row r="27" spans="3:64">
      <c r="C27" s="421"/>
      <c r="D27" s="421"/>
      <c r="E27" s="421"/>
      <c r="F27" s="421"/>
      <c r="G27" s="421"/>
      <c r="H27" s="421"/>
      <c r="I27" s="421"/>
      <c r="J27" s="421"/>
      <c r="K27" s="421"/>
      <c r="L27" s="421"/>
      <c r="M27" s="421"/>
      <c r="N27" s="421"/>
    </row>
    <row r="28" spans="3:64">
      <c r="C28" s="421"/>
      <c r="D28" s="421"/>
      <c r="E28" s="421"/>
      <c r="F28" s="421"/>
      <c r="G28" s="421"/>
      <c r="H28" s="421"/>
      <c r="I28" s="421"/>
      <c r="J28" s="421"/>
      <c r="K28" s="421"/>
      <c r="L28" s="421"/>
      <c r="M28" s="421"/>
      <c r="N28" s="421"/>
    </row>
    <row r="29" spans="3:64">
      <c r="C29" s="421"/>
      <c r="D29" s="421"/>
      <c r="E29" s="421"/>
      <c r="F29" s="421"/>
      <c r="G29" s="421"/>
      <c r="H29" s="421"/>
      <c r="I29" s="421"/>
      <c r="J29" s="421"/>
      <c r="K29" s="421"/>
      <c r="L29" s="421"/>
      <c r="M29" s="421"/>
      <c r="N29" s="421"/>
    </row>
    <row r="30" spans="3:64">
      <c r="C30" s="421"/>
      <c r="D30" s="421"/>
      <c r="E30" s="421"/>
      <c r="F30" s="421"/>
      <c r="G30" s="421"/>
      <c r="H30" s="421"/>
      <c r="I30" s="421"/>
      <c r="J30" s="421"/>
      <c r="K30" s="421"/>
      <c r="L30" s="421"/>
      <c r="M30" s="421"/>
      <c r="N30" s="421"/>
    </row>
    <row r="31" spans="3:64">
      <c r="C31" s="421"/>
      <c r="D31" s="421"/>
      <c r="E31" s="421"/>
      <c r="F31" s="421"/>
      <c r="G31" s="421"/>
      <c r="H31" s="421"/>
      <c r="I31" s="421"/>
      <c r="J31" s="421"/>
      <c r="K31" s="421"/>
      <c r="L31" s="421"/>
      <c r="M31" s="421"/>
      <c r="N31" s="421"/>
    </row>
    <row r="32" spans="3:64">
      <c r="C32" s="421"/>
      <c r="D32" s="421"/>
      <c r="E32" s="421"/>
      <c r="F32" s="421"/>
      <c r="G32" s="421"/>
      <c r="H32" s="421"/>
      <c r="I32" s="421"/>
      <c r="J32" s="421"/>
      <c r="K32" s="421"/>
      <c r="L32" s="421"/>
      <c r="M32" s="421"/>
      <c r="N32" s="421"/>
    </row>
    <row r="33" spans="2:119" s="160" customFormat="1">
      <c r="B33" s="446" t="s">
        <v>719</v>
      </c>
      <c r="C33" s="1084" t="str">
        <f>IF(C63&lt;&gt;"",AVERAGE(C63:AF63),"")</f>
        <v/>
      </c>
      <c r="D33" s="1084"/>
      <c r="E33" s="447"/>
      <c r="F33" s="448" t="s">
        <v>597</v>
      </c>
      <c r="G33" s="448"/>
      <c r="H33" s="1084" t="str">
        <f>IF(C56="","",IF(COUNT(C56:C60)=5,AI38*2.115,IF(COUNT(C56:C60)=4,AI38*2.282,IF(COUNT(C56:C60)=3,AI38*2.575,AI38*3.267))))</f>
        <v/>
      </c>
      <c r="I33" s="1084"/>
      <c r="J33" s="447"/>
      <c r="K33" s="448" t="s">
        <v>598</v>
      </c>
      <c r="L33" s="448"/>
      <c r="M33" s="1084" t="str">
        <f>IF(C56&lt;&gt;"",0,"")</f>
        <v/>
      </c>
      <c r="N33" s="1092"/>
      <c r="T33" s="449" t="s">
        <v>605</v>
      </c>
      <c r="AG33" s="1"/>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row>
    <row r="34" spans="2:119">
      <c r="AH34" s="10" t="s">
        <v>606</v>
      </c>
    </row>
    <row r="36" spans="2:119">
      <c r="AH36" s="10" t="s">
        <v>601</v>
      </c>
      <c r="AI36" s="306">
        <v>1</v>
      </c>
      <c r="AJ36" s="306">
        <f t="shared" ref="AJ36:BL36" si="5">AI36+1</f>
        <v>2</v>
      </c>
      <c r="AK36" s="306">
        <f t="shared" si="5"/>
        <v>3</v>
      </c>
      <c r="AL36" s="306">
        <f t="shared" si="5"/>
        <v>4</v>
      </c>
      <c r="AM36" s="306">
        <f t="shared" si="5"/>
        <v>5</v>
      </c>
      <c r="AN36" s="306">
        <f t="shared" si="5"/>
        <v>6</v>
      </c>
      <c r="AO36" s="306">
        <f t="shared" si="5"/>
        <v>7</v>
      </c>
      <c r="AP36" s="306">
        <f t="shared" si="5"/>
        <v>8</v>
      </c>
      <c r="AQ36" s="306">
        <f t="shared" si="5"/>
        <v>9</v>
      </c>
      <c r="AR36" s="306">
        <f t="shared" si="5"/>
        <v>10</v>
      </c>
      <c r="AS36" s="306">
        <f t="shared" si="5"/>
        <v>11</v>
      </c>
      <c r="AT36" s="306">
        <f t="shared" si="5"/>
        <v>12</v>
      </c>
      <c r="AU36" s="306">
        <f t="shared" si="5"/>
        <v>13</v>
      </c>
      <c r="AV36" s="306">
        <f t="shared" si="5"/>
        <v>14</v>
      </c>
      <c r="AW36" s="306">
        <f t="shared" si="5"/>
        <v>15</v>
      </c>
      <c r="AX36" s="306">
        <f t="shared" si="5"/>
        <v>16</v>
      </c>
      <c r="AY36" s="306">
        <f t="shared" si="5"/>
        <v>17</v>
      </c>
      <c r="AZ36" s="306">
        <f t="shared" si="5"/>
        <v>18</v>
      </c>
      <c r="BA36" s="306">
        <f t="shared" si="5"/>
        <v>19</v>
      </c>
      <c r="BB36" s="306">
        <f t="shared" si="5"/>
        <v>20</v>
      </c>
      <c r="BC36" s="306">
        <f t="shared" si="5"/>
        <v>21</v>
      </c>
      <c r="BD36" s="306">
        <f t="shared" si="5"/>
        <v>22</v>
      </c>
      <c r="BE36" s="306">
        <f t="shared" si="5"/>
        <v>23</v>
      </c>
      <c r="BF36" s="306">
        <f t="shared" si="5"/>
        <v>24</v>
      </c>
      <c r="BG36" s="306">
        <f t="shared" si="5"/>
        <v>25</v>
      </c>
      <c r="BH36" s="306">
        <f t="shared" si="5"/>
        <v>26</v>
      </c>
      <c r="BI36" s="306">
        <f t="shared" si="5"/>
        <v>27</v>
      </c>
      <c r="BJ36" s="306">
        <f t="shared" si="5"/>
        <v>28</v>
      </c>
      <c r="BK36" s="306">
        <f t="shared" si="5"/>
        <v>29</v>
      </c>
      <c r="BL36" s="306">
        <f t="shared" si="5"/>
        <v>30</v>
      </c>
    </row>
    <row r="37" spans="2:119">
      <c r="AH37" s="10" t="s">
        <v>602</v>
      </c>
      <c r="AI37" s="450" t="str">
        <f t="shared" ref="AI37:BL37" si="6">$H$33</f>
        <v/>
      </c>
      <c r="AJ37" s="450" t="str">
        <f t="shared" si="6"/>
        <v/>
      </c>
      <c r="AK37" s="450" t="str">
        <f t="shared" si="6"/>
        <v/>
      </c>
      <c r="AL37" s="450" t="str">
        <f t="shared" si="6"/>
        <v/>
      </c>
      <c r="AM37" s="450" t="str">
        <f t="shared" si="6"/>
        <v/>
      </c>
      <c r="AN37" s="450" t="str">
        <f t="shared" si="6"/>
        <v/>
      </c>
      <c r="AO37" s="450" t="str">
        <f t="shared" si="6"/>
        <v/>
      </c>
      <c r="AP37" s="450" t="str">
        <f t="shared" si="6"/>
        <v/>
      </c>
      <c r="AQ37" s="450" t="str">
        <f t="shared" si="6"/>
        <v/>
      </c>
      <c r="AR37" s="450" t="str">
        <f t="shared" si="6"/>
        <v/>
      </c>
      <c r="AS37" s="450" t="str">
        <f t="shared" si="6"/>
        <v/>
      </c>
      <c r="AT37" s="450" t="str">
        <f t="shared" si="6"/>
        <v/>
      </c>
      <c r="AU37" s="450" t="str">
        <f t="shared" si="6"/>
        <v/>
      </c>
      <c r="AV37" s="450" t="str">
        <f t="shared" si="6"/>
        <v/>
      </c>
      <c r="AW37" s="450" t="str">
        <f t="shared" si="6"/>
        <v/>
      </c>
      <c r="AX37" s="450" t="str">
        <f t="shared" si="6"/>
        <v/>
      </c>
      <c r="AY37" s="450" t="str">
        <f t="shared" si="6"/>
        <v/>
      </c>
      <c r="AZ37" s="450" t="str">
        <f t="shared" si="6"/>
        <v/>
      </c>
      <c r="BA37" s="450" t="str">
        <f t="shared" si="6"/>
        <v/>
      </c>
      <c r="BB37" s="450" t="str">
        <f t="shared" si="6"/>
        <v/>
      </c>
      <c r="BC37" s="450" t="str">
        <f t="shared" si="6"/>
        <v/>
      </c>
      <c r="BD37" s="450" t="str">
        <f t="shared" si="6"/>
        <v/>
      </c>
      <c r="BE37" s="450" t="str">
        <f t="shared" si="6"/>
        <v/>
      </c>
      <c r="BF37" s="450" t="str">
        <f t="shared" si="6"/>
        <v/>
      </c>
      <c r="BG37" s="450" t="str">
        <f t="shared" si="6"/>
        <v/>
      </c>
      <c r="BH37" s="450" t="str">
        <f t="shared" si="6"/>
        <v/>
      </c>
      <c r="BI37" s="450" t="str">
        <f t="shared" si="6"/>
        <v/>
      </c>
      <c r="BJ37" s="450" t="str">
        <f t="shared" si="6"/>
        <v/>
      </c>
      <c r="BK37" s="450" t="str">
        <f t="shared" si="6"/>
        <v/>
      </c>
      <c r="BL37" s="450" t="str">
        <f t="shared" si="6"/>
        <v/>
      </c>
    </row>
    <row r="38" spans="2:119">
      <c r="AH38" s="10" t="s">
        <v>459</v>
      </c>
      <c r="AI38" s="450" t="e">
        <f>AVERAGE(C63:AF63)</f>
        <v>#DIV/0!</v>
      </c>
      <c r="AJ38" s="450" t="e">
        <f t="shared" ref="AJ38:BL38" si="7">$AI$38</f>
        <v>#DIV/0!</v>
      </c>
      <c r="AK38" s="450" t="e">
        <f t="shared" si="7"/>
        <v>#DIV/0!</v>
      </c>
      <c r="AL38" s="450" t="e">
        <f t="shared" si="7"/>
        <v>#DIV/0!</v>
      </c>
      <c r="AM38" s="450" t="e">
        <f t="shared" si="7"/>
        <v>#DIV/0!</v>
      </c>
      <c r="AN38" s="450" t="e">
        <f t="shared" si="7"/>
        <v>#DIV/0!</v>
      </c>
      <c r="AO38" s="450" t="e">
        <f t="shared" si="7"/>
        <v>#DIV/0!</v>
      </c>
      <c r="AP38" s="450" t="e">
        <f t="shared" si="7"/>
        <v>#DIV/0!</v>
      </c>
      <c r="AQ38" s="450" t="e">
        <f t="shared" si="7"/>
        <v>#DIV/0!</v>
      </c>
      <c r="AR38" s="450" t="e">
        <f t="shared" si="7"/>
        <v>#DIV/0!</v>
      </c>
      <c r="AS38" s="450" t="e">
        <f t="shared" si="7"/>
        <v>#DIV/0!</v>
      </c>
      <c r="AT38" s="450" t="e">
        <f t="shared" si="7"/>
        <v>#DIV/0!</v>
      </c>
      <c r="AU38" s="450" t="e">
        <f t="shared" si="7"/>
        <v>#DIV/0!</v>
      </c>
      <c r="AV38" s="450" t="e">
        <f t="shared" si="7"/>
        <v>#DIV/0!</v>
      </c>
      <c r="AW38" s="450" t="e">
        <f t="shared" si="7"/>
        <v>#DIV/0!</v>
      </c>
      <c r="AX38" s="450" t="e">
        <f t="shared" si="7"/>
        <v>#DIV/0!</v>
      </c>
      <c r="AY38" s="450" t="e">
        <f t="shared" si="7"/>
        <v>#DIV/0!</v>
      </c>
      <c r="AZ38" s="450" t="e">
        <f t="shared" si="7"/>
        <v>#DIV/0!</v>
      </c>
      <c r="BA38" s="450" t="e">
        <f t="shared" si="7"/>
        <v>#DIV/0!</v>
      </c>
      <c r="BB38" s="450" t="e">
        <f t="shared" si="7"/>
        <v>#DIV/0!</v>
      </c>
      <c r="BC38" s="450" t="e">
        <f t="shared" si="7"/>
        <v>#DIV/0!</v>
      </c>
      <c r="BD38" s="450" t="e">
        <f t="shared" si="7"/>
        <v>#DIV/0!</v>
      </c>
      <c r="BE38" s="450" t="e">
        <f t="shared" si="7"/>
        <v>#DIV/0!</v>
      </c>
      <c r="BF38" s="450" t="e">
        <f t="shared" si="7"/>
        <v>#DIV/0!</v>
      </c>
      <c r="BG38" s="450" t="e">
        <f t="shared" si="7"/>
        <v>#DIV/0!</v>
      </c>
      <c r="BH38" s="450" t="e">
        <f t="shared" si="7"/>
        <v>#DIV/0!</v>
      </c>
      <c r="BI38" s="450" t="e">
        <f t="shared" si="7"/>
        <v>#DIV/0!</v>
      </c>
      <c r="BJ38" s="450" t="e">
        <f t="shared" si="7"/>
        <v>#DIV/0!</v>
      </c>
      <c r="BK38" s="450" t="e">
        <f t="shared" si="7"/>
        <v>#DIV/0!</v>
      </c>
      <c r="BL38" s="450" t="e">
        <f t="shared" si="7"/>
        <v>#DIV/0!</v>
      </c>
    </row>
    <row r="39" spans="2:119">
      <c r="AH39" s="10" t="s">
        <v>607</v>
      </c>
      <c r="AI39" s="450" t="str">
        <f t="shared" ref="AI39:BL39" si="8">C63</f>
        <v/>
      </c>
      <c r="AJ39" s="450" t="str">
        <f t="shared" si="8"/>
        <v/>
      </c>
      <c r="AK39" s="450" t="str">
        <f t="shared" si="8"/>
        <v/>
      </c>
      <c r="AL39" s="450" t="str">
        <f t="shared" si="8"/>
        <v/>
      </c>
      <c r="AM39" s="450" t="str">
        <f t="shared" si="8"/>
        <v/>
      </c>
      <c r="AN39" s="450" t="str">
        <f t="shared" si="8"/>
        <v/>
      </c>
      <c r="AO39" s="450" t="str">
        <f t="shared" si="8"/>
        <v/>
      </c>
      <c r="AP39" s="450" t="str">
        <f t="shared" si="8"/>
        <v/>
      </c>
      <c r="AQ39" s="450" t="str">
        <f t="shared" si="8"/>
        <v/>
      </c>
      <c r="AR39" s="450" t="str">
        <f t="shared" si="8"/>
        <v/>
      </c>
      <c r="AS39" s="450" t="str">
        <f t="shared" si="8"/>
        <v/>
      </c>
      <c r="AT39" s="450" t="str">
        <f t="shared" si="8"/>
        <v/>
      </c>
      <c r="AU39" s="450" t="str">
        <f t="shared" si="8"/>
        <v/>
      </c>
      <c r="AV39" s="450" t="str">
        <f t="shared" si="8"/>
        <v/>
      </c>
      <c r="AW39" s="450" t="str">
        <f t="shared" si="8"/>
        <v/>
      </c>
      <c r="AX39" s="450" t="str">
        <f t="shared" si="8"/>
        <v/>
      </c>
      <c r="AY39" s="450" t="str">
        <f t="shared" si="8"/>
        <v/>
      </c>
      <c r="AZ39" s="450" t="str">
        <f t="shared" si="8"/>
        <v/>
      </c>
      <c r="BA39" s="450" t="str">
        <f t="shared" si="8"/>
        <v/>
      </c>
      <c r="BB39" s="450" t="str">
        <f t="shared" si="8"/>
        <v/>
      </c>
      <c r="BC39" s="450" t="str">
        <f t="shared" si="8"/>
        <v/>
      </c>
      <c r="BD39" s="450" t="str">
        <f t="shared" si="8"/>
        <v/>
      </c>
      <c r="BE39" s="450" t="str">
        <f t="shared" si="8"/>
        <v/>
      </c>
      <c r="BF39" s="450" t="str">
        <f t="shared" si="8"/>
        <v/>
      </c>
      <c r="BG39" s="450" t="str">
        <f t="shared" si="8"/>
        <v/>
      </c>
      <c r="BH39" s="450" t="str">
        <f t="shared" si="8"/>
        <v/>
      </c>
      <c r="BI39" s="450" t="str">
        <f t="shared" si="8"/>
        <v/>
      </c>
      <c r="BJ39" s="450" t="str">
        <f t="shared" si="8"/>
        <v/>
      </c>
      <c r="BK39" s="450" t="str">
        <f t="shared" si="8"/>
        <v/>
      </c>
      <c r="BL39" s="450" t="str">
        <f t="shared" si="8"/>
        <v/>
      </c>
    </row>
    <row r="40" spans="2:119">
      <c r="AH40" s="10" t="s">
        <v>604</v>
      </c>
      <c r="AI40" s="450" t="str">
        <f t="shared" ref="AI40:BL40" si="9">$M$33</f>
        <v/>
      </c>
      <c r="AJ40" s="450" t="str">
        <f t="shared" si="9"/>
        <v/>
      </c>
      <c r="AK40" s="450" t="str">
        <f t="shared" si="9"/>
        <v/>
      </c>
      <c r="AL40" s="450" t="str">
        <f t="shared" si="9"/>
        <v/>
      </c>
      <c r="AM40" s="450" t="str">
        <f t="shared" si="9"/>
        <v/>
      </c>
      <c r="AN40" s="450" t="str">
        <f t="shared" si="9"/>
        <v/>
      </c>
      <c r="AO40" s="450" t="str">
        <f t="shared" si="9"/>
        <v/>
      </c>
      <c r="AP40" s="450" t="str">
        <f t="shared" si="9"/>
        <v/>
      </c>
      <c r="AQ40" s="450" t="str">
        <f t="shared" si="9"/>
        <v/>
      </c>
      <c r="AR40" s="450" t="str">
        <f t="shared" si="9"/>
        <v/>
      </c>
      <c r="AS40" s="450" t="str">
        <f t="shared" si="9"/>
        <v/>
      </c>
      <c r="AT40" s="450" t="str">
        <f t="shared" si="9"/>
        <v/>
      </c>
      <c r="AU40" s="450" t="str">
        <f t="shared" si="9"/>
        <v/>
      </c>
      <c r="AV40" s="450" t="str">
        <f t="shared" si="9"/>
        <v/>
      </c>
      <c r="AW40" s="450" t="str">
        <f t="shared" si="9"/>
        <v/>
      </c>
      <c r="AX40" s="450" t="str">
        <f t="shared" si="9"/>
        <v/>
      </c>
      <c r="AY40" s="450" t="str">
        <f t="shared" si="9"/>
        <v/>
      </c>
      <c r="AZ40" s="450" t="str">
        <f t="shared" si="9"/>
        <v/>
      </c>
      <c r="BA40" s="450" t="str">
        <f t="shared" si="9"/>
        <v/>
      </c>
      <c r="BB40" s="450" t="str">
        <f t="shared" si="9"/>
        <v/>
      </c>
      <c r="BC40" s="450" t="str">
        <f t="shared" si="9"/>
        <v/>
      </c>
      <c r="BD40" s="450" t="str">
        <f t="shared" si="9"/>
        <v/>
      </c>
      <c r="BE40" s="450" t="str">
        <f t="shared" si="9"/>
        <v/>
      </c>
      <c r="BF40" s="450" t="str">
        <f t="shared" si="9"/>
        <v/>
      </c>
      <c r="BG40" s="450" t="str">
        <f t="shared" si="9"/>
        <v/>
      </c>
      <c r="BH40" s="450" t="str">
        <f t="shared" si="9"/>
        <v/>
      </c>
      <c r="BI40" s="450" t="str">
        <f t="shared" si="9"/>
        <v/>
      </c>
      <c r="BJ40" s="450" t="str">
        <f t="shared" si="9"/>
        <v/>
      </c>
      <c r="BK40" s="450" t="str">
        <f t="shared" si="9"/>
        <v/>
      </c>
      <c r="BL40" s="450" t="str">
        <f t="shared" si="9"/>
        <v/>
      </c>
    </row>
    <row r="54" spans="1:119" s="180" customFormat="1" ht="18" customHeight="1">
      <c r="A54" s="451"/>
      <c r="B54" s="452"/>
      <c r="C54" s="1087" t="s">
        <v>590</v>
      </c>
      <c r="D54" s="1088"/>
      <c r="E54" s="1088"/>
      <c r="F54" s="1088"/>
      <c r="G54" s="1088"/>
      <c r="H54" s="1088"/>
      <c r="I54" s="1088"/>
      <c r="J54" s="1088"/>
      <c r="K54" s="1088"/>
      <c r="L54" s="1089"/>
      <c r="M54" s="1087" t="s">
        <v>591</v>
      </c>
      <c r="N54" s="1088"/>
      <c r="O54" s="1088"/>
      <c r="P54" s="1088"/>
      <c r="Q54" s="1088"/>
      <c r="R54" s="1088"/>
      <c r="S54" s="1088"/>
      <c r="T54" s="1088"/>
      <c r="U54" s="1088"/>
      <c r="V54" s="1089"/>
      <c r="W54" s="1087" t="s">
        <v>592</v>
      </c>
      <c r="X54" s="1088"/>
      <c r="Y54" s="1088"/>
      <c r="Z54" s="1088"/>
      <c r="AA54" s="1088"/>
      <c r="AB54" s="1088"/>
      <c r="AC54" s="1088"/>
      <c r="AD54" s="1088"/>
      <c r="AE54" s="1088"/>
      <c r="AF54" s="1089"/>
      <c r="AG54" s="453"/>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453"/>
      <c r="BN54" s="453"/>
      <c r="BO54" s="453"/>
      <c r="BP54" s="453"/>
      <c r="BQ54" s="453"/>
      <c r="BR54" s="453"/>
      <c r="BS54" s="453"/>
      <c r="BT54" s="453"/>
      <c r="BU54" s="453"/>
      <c r="BV54" s="453"/>
      <c r="BW54" s="453"/>
      <c r="BX54" s="453"/>
      <c r="BY54" s="453"/>
      <c r="BZ54" s="453"/>
      <c r="CA54" s="453"/>
      <c r="CB54" s="453"/>
      <c r="CC54" s="453"/>
      <c r="CD54" s="453"/>
      <c r="CE54" s="453"/>
      <c r="CF54" s="453"/>
      <c r="CG54" s="453"/>
      <c r="CH54" s="453"/>
      <c r="CI54" s="453"/>
      <c r="CJ54" s="453"/>
      <c r="CK54" s="453"/>
      <c r="CL54" s="453"/>
      <c r="CM54" s="453"/>
      <c r="CN54" s="453"/>
      <c r="CO54" s="453"/>
      <c r="CP54" s="453"/>
      <c r="CQ54" s="453"/>
      <c r="CR54" s="453"/>
      <c r="CS54" s="453"/>
      <c r="CT54" s="453"/>
      <c r="CU54" s="453"/>
      <c r="CV54" s="453"/>
      <c r="CW54" s="453"/>
      <c r="CX54" s="453"/>
      <c r="CY54" s="453"/>
      <c r="CZ54" s="453"/>
      <c r="DA54" s="453"/>
      <c r="DB54" s="453"/>
      <c r="DC54" s="453"/>
      <c r="DD54" s="453"/>
      <c r="DE54" s="453"/>
      <c r="DF54" s="453"/>
      <c r="DG54" s="453"/>
      <c r="DH54" s="453"/>
      <c r="DI54" s="453"/>
      <c r="DJ54" s="453"/>
      <c r="DK54" s="453"/>
      <c r="DL54" s="453"/>
      <c r="DM54" s="453"/>
      <c r="DN54" s="453"/>
      <c r="DO54" s="453"/>
    </row>
    <row r="55" spans="1:119" s="180" customFormat="1" ht="24.95" customHeight="1">
      <c r="A55" s="1098" t="s">
        <v>608</v>
      </c>
      <c r="B55" s="1099"/>
      <c r="C55" s="454">
        <v>1</v>
      </c>
      <c r="D55" s="454">
        <f t="shared" ref="D55:L55" si="10">C55+1</f>
        <v>2</v>
      </c>
      <c r="E55" s="454">
        <f t="shared" si="10"/>
        <v>3</v>
      </c>
      <c r="F55" s="454">
        <f t="shared" si="10"/>
        <v>4</v>
      </c>
      <c r="G55" s="454">
        <f t="shared" si="10"/>
        <v>5</v>
      </c>
      <c r="H55" s="454">
        <f t="shared" si="10"/>
        <v>6</v>
      </c>
      <c r="I55" s="454">
        <f t="shared" si="10"/>
        <v>7</v>
      </c>
      <c r="J55" s="454">
        <f t="shared" si="10"/>
        <v>8</v>
      </c>
      <c r="K55" s="454">
        <f t="shared" si="10"/>
        <v>9</v>
      </c>
      <c r="L55" s="454">
        <f t="shared" si="10"/>
        <v>10</v>
      </c>
      <c r="M55" s="454">
        <v>1</v>
      </c>
      <c r="N55" s="454">
        <f t="shared" ref="N55:V55" si="11">M55+1</f>
        <v>2</v>
      </c>
      <c r="O55" s="454">
        <f t="shared" si="11"/>
        <v>3</v>
      </c>
      <c r="P55" s="454">
        <f t="shared" si="11"/>
        <v>4</v>
      </c>
      <c r="Q55" s="454">
        <f t="shared" si="11"/>
        <v>5</v>
      </c>
      <c r="R55" s="454">
        <f t="shared" si="11"/>
        <v>6</v>
      </c>
      <c r="S55" s="454">
        <f t="shared" si="11"/>
        <v>7</v>
      </c>
      <c r="T55" s="454">
        <f t="shared" si="11"/>
        <v>8</v>
      </c>
      <c r="U55" s="454">
        <f t="shared" si="11"/>
        <v>9</v>
      </c>
      <c r="V55" s="454">
        <f t="shared" si="11"/>
        <v>10</v>
      </c>
      <c r="W55" s="454">
        <v>1</v>
      </c>
      <c r="X55" s="454">
        <f t="shared" ref="X55:AF55" si="12">W55+1</f>
        <v>2</v>
      </c>
      <c r="Y55" s="454">
        <f t="shared" si="12"/>
        <v>3</v>
      </c>
      <c r="Z55" s="454">
        <f t="shared" si="12"/>
        <v>4</v>
      </c>
      <c r="AA55" s="454">
        <f t="shared" si="12"/>
        <v>5</v>
      </c>
      <c r="AB55" s="454">
        <f t="shared" si="12"/>
        <v>6</v>
      </c>
      <c r="AC55" s="454">
        <f t="shared" si="12"/>
        <v>7</v>
      </c>
      <c r="AD55" s="454">
        <f t="shared" si="12"/>
        <v>8</v>
      </c>
      <c r="AE55" s="454">
        <f t="shared" si="12"/>
        <v>9</v>
      </c>
      <c r="AF55" s="454">
        <f t="shared" si="12"/>
        <v>10</v>
      </c>
      <c r="AG55" s="453"/>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453"/>
      <c r="BN55" s="453"/>
      <c r="BO55" s="453"/>
      <c r="BP55" s="453"/>
      <c r="BQ55" s="453"/>
      <c r="BR55" s="453"/>
      <c r="BS55" s="453"/>
      <c r="BT55" s="453"/>
      <c r="BU55" s="453"/>
      <c r="BV55" s="453"/>
      <c r="BW55" s="453"/>
      <c r="BX55" s="453"/>
      <c r="BY55" s="453"/>
      <c r="BZ55" s="453"/>
      <c r="CA55" s="453"/>
      <c r="CB55" s="453"/>
      <c r="CC55" s="453"/>
      <c r="CD55" s="453"/>
      <c r="CE55" s="453"/>
      <c r="CF55" s="453"/>
      <c r="CG55" s="453"/>
      <c r="CH55" s="453"/>
      <c r="CI55" s="453"/>
      <c r="CJ55" s="453"/>
      <c r="CK55" s="453"/>
      <c r="CL55" s="453"/>
      <c r="CM55" s="453"/>
      <c r="CN55" s="453"/>
      <c r="CO55" s="453"/>
      <c r="CP55" s="453"/>
      <c r="CQ55" s="453"/>
      <c r="CR55" s="453"/>
      <c r="CS55" s="453"/>
      <c r="CT55" s="453"/>
      <c r="CU55" s="453"/>
      <c r="CV55" s="453"/>
      <c r="CW55" s="453"/>
      <c r="CX55" s="453"/>
      <c r="CY55" s="453"/>
      <c r="CZ55" s="453"/>
      <c r="DA55" s="453"/>
      <c r="DB55" s="453"/>
      <c r="DC55" s="453"/>
      <c r="DD55" s="453"/>
      <c r="DE55" s="453"/>
      <c r="DF55" s="453"/>
      <c r="DG55" s="453"/>
      <c r="DH55" s="453"/>
      <c r="DI55" s="453"/>
      <c r="DJ55" s="453"/>
      <c r="DK55" s="453"/>
      <c r="DL55" s="453"/>
      <c r="DM55" s="453"/>
      <c r="DN55" s="453"/>
      <c r="DO55" s="453"/>
    </row>
    <row r="56" spans="1:119" s="180" customFormat="1" ht="23.25" customHeight="1">
      <c r="A56" s="455" t="s">
        <v>160</v>
      </c>
      <c r="B56" s="456">
        <v>1</v>
      </c>
      <c r="C56" s="457"/>
      <c r="D56" s="457"/>
      <c r="E56" s="457"/>
      <c r="F56" s="457"/>
      <c r="G56" s="457"/>
      <c r="H56" s="457"/>
      <c r="I56" s="457"/>
      <c r="J56" s="457"/>
      <c r="K56" s="457"/>
      <c r="L56" s="457"/>
      <c r="M56" s="457"/>
      <c r="N56" s="457"/>
      <c r="O56" s="457"/>
      <c r="P56" s="457"/>
      <c r="Q56" s="457"/>
      <c r="R56" s="457"/>
      <c r="S56" s="457"/>
      <c r="T56" s="457"/>
      <c r="U56" s="457"/>
      <c r="V56" s="457"/>
      <c r="W56" s="457"/>
      <c r="X56" s="457"/>
      <c r="Y56" s="457"/>
      <c r="Z56" s="457"/>
      <c r="AA56" s="457"/>
      <c r="AB56" s="457"/>
      <c r="AC56" s="457"/>
      <c r="AD56" s="457"/>
      <c r="AE56" s="457"/>
      <c r="AF56" s="457"/>
      <c r="AG56" s="453"/>
      <c r="AH56" s="453"/>
      <c r="AI56" s="453"/>
      <c r="AJ56" s="453"/>
      <c r="AK56" s="453"/>
      <c r="AL56" s="453"/>
      <c r="AM56" s="453"/>
      <c r="AN56" s="453"/>
      <c r="AO56" s="453"/>
      <c r="AP56" s="453"/>
      <c r="AQ56" s="453"/>
      <c r="AR56" s="453"/>
      <c r="AS56" s="453"/>
      <c r="AT56" s="453"/>
      <c r="AU56" s="453"/>
      <c r="AV56" s="453"/>
      <c r="AW56" s="453"/>
      <c r="AX56" s="453"/>
      <c r="AY56" s="453"/>
      <c r="AZ56" s="453"/>
      <c r="BA56" s="453"/>
      <c r="BB56" s="453"/>
      <c r="BC56" s="453"/>
      <c r="BD56" s="453"/>
      <c r="BE56" s="453"/>
      <c r="BF56" s="453"/>
      <c r="BG56" s="453"/>
      <c r="BH56" s="453"/>
      <c r="BI56" s="453"/>
      <c r="BJ56" s="453"/>
      <c r="BK56" s="453"/>
      <c r="BL56" s="453"/>
      <c r="BM56" s="453"/>
      <c r="BN56" s="453"/>
      <c r="BO56" s="453"/>
      <c r="BP56" s="453"/>
      <c r="BQ56" s="453"/>
      <c r="BR56" s="453"/>
      <c r="BS56" s="453"/>
      <c r="BT56" s="453"/>
      <c r="BU56" s="453"/>
      <c r="BV56" s="453"/>
      <c r="BW56" s="453"/>
      <c r="BX56" s="453"/>
      <c r="BY56" s="453"/>
      <c r="BZ56" s="453"/>
      <c r="CA56" s="453"/>
      <c r="CB56" s="453"/>
      <c r="CC56" s="453"/>
      <c r="CD56" s="453"/>
      <c r="CE56" s="453"/>
      <c r="CF56" s="453"/>
      <c r="CG56" s="453"/>
      <c r="CH56" s="453"/>
      <c r="CI56" s="453"/>
      <c r="CJ56" s="453"/>
      <c r="CK56" s="453"/>
      <c r="CL56" s="453"/>
      <c r="CM56" s="453"/>
      <c r="CN56" s="453"/>
      <c r="CO56" s="453"/>
      <c r="CP56" s="453"/>
      <c r="CQ56" s="453"/>
      <c r="CR56" s="453"/>
      <c r="CS56" s="453"/>
      <c r="CT56" s="453"/>
      <c r="CU56" s="453"/>
      <c r="CV56" s="453"/>
      <c r="CW56" s="453"/>
      <c r="CX56" s="453"/>
      <c r="CY56" s="453"/>
      <c r="CZ56" s="453"/>
      <c r="DA56" s="453"/>
      <c r="DB56" s="453"/>
      <c r="DC56" s="453"/>
      <c r="DD56" s="453"/>
      <c r="DE56" s="453"/>
      <c r="DF56" s="453"/>
      <c r="DG56" s="453"/>
      <c r="DH56" s="453"/>
      <c r="DI56" s="453"/>
      <c r="DJ56" s="453"/>
      <c r="DK56" s="453"/>
      <c r="DL56" s="453"/>
      <c r="DM56" s="453"/>
      <c r="DN56" s="453"/>
      <c r="DO56" s="453"/>
    </row>
    <row r="57" spans="1:119" s="180" customFormat="1" ht="23.25" customHeight="1">
      <c r="A57" s="458" t="s">
        <v>609</v>
      </c>
      <c r="B57" s="459">
        <v>2</v>
      </c>
      <c r="C57" s="457"/>
      <c r="D57" s="457"/>
      <c r="E57" s="457"/>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57"/>
      <c r="AG57" s="453"/>
      <c r="AH57" s="453"/>
      <c r="AI57" s="453"/>
      <c r="AJ57" s="453"/>
      <c r="AK57" s="453"/>
      <c r="AL57" s="453"/>
      <c r="AM57" s="453"/>
      <c r="AN57" s="453"/>
      <c r="AO57" s="453"/>
      <c r="AP57" s="453"/>
      <c r="AQ57" s="453"/>
      <c r="AR57" s="453"/>
      <c r="AS57" s="453"/>
      <c r="AT57" s="453"/>
      <c r="AU57" s="453"/>
      <c r="AV57" s="453"/>
      <c r="AW57" s="453"/>
      <c r="AX57" s="453"/>
      <c r="AY57" s="453"/>
      <c r="AZ57" s="453"/>
      <c r="BA57" s="453"/>
      <c r="BB57" s="453"/>
      <c r="BC57" s="453"/>
      <c r="BD57" s="453"/>
      <c r="BE57" s="453"/>
      <c r="BF57" s="453"/>
      <c r="BG57" s="453"/>
      <c r="BH57" s="453"/>
      <c r="BI57" s="453"/>
      <c r="BJ57" s="453"/>
      <c r="BK57" s="453"/>
      <c r="BL57" s="453"/>
      <c r="BM57" s="453"/>
      <c r="BN57" s="453"/>
      <c r="BO57" s="453"/>
      <c r="BP57" s="453"/>
      <c r="BQ57" s="453"/>
      <c r="BR57" s="453"/>
      <c r="BS57" s="453"/>
      <c r="BT57" s="453"/>
      <c r="BU57" s="453"/>
      <c r="BV57" s="453"/>
      <c r="BW57" s="453"/>
      <c r="BX57" s="453"/>
      <c r="BY57" s="453"/>
      <c r="BZ57" s="453"/>
      <c r="CA57" s="453"/>
      <c r="CB57" s="453"/>
      <c r="CC57" s="453"/>
      <c r="CD57" s="453"/>
      <c r="CE57" s="453"/>
      <c r="CF57" s="453"/>
      <c r="CG57" s="453"/>
      <c r="CH57" s="453"/>
      <c r="CI57" s="453"/>
      <c r="CJ57" s="453"/>
      <c r="CK57" s="453"/>
      <c r="CL57" s="453"/>
      <c r="CM57" s="453"/>
      <c r="CN57" s="453"/>
      <c r="CO57" s="453"/>
      <c r="CP57" s="453"/>
      <c r="CQ57" s="453"/>
      <c r="CR57" s="453"/>
      <c r="CS57" s="453"/>
      <c r="CT57" s="453"/>
      <c r="CU57" s="453"/>
      <c r="CV57" s="453"/>
      <c r="CW57" s="453"/>
      <c r="CX57" s="453"/>
      <c r="CY57" s="453"/>
      <c r="CZ57" s="453"/>
      <c r="DA57" s="453"/>
      <c r="DB57" s="453"/>
      <c r="DC57" s="453"/>
      <c r="DD57" s="453"/>
      <c r="DE57" s="453"/>
      <c r="DF57" s="453"/>
      <c r="DG57" s="453"/>
      <c r="DH57" s="453"/>
      <c r="DI57" s="453"/>
      <c r="DJ57" s="453"/>
      <c r="DK57" s="453"/>
      <c r="DL57" s="453"/>
      <c r="DM57" s="453"/>
      <c r="DN57" s="453"/>
      <c r="DO57" s="453"/>
    </row>
    <row r="58" spans="1:119" s="180" customFormat="1" ht="23.25" customHeight="1">
      <c r="A58" s="458" t="s">
        <v>610</v>
      </c>
      <c r="B58" s="459">
        <v>3</v>
      </c>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3"/>
      <c r="BJ58" s="453"/>
      <c r="BK58" s="453"/>
      <c r="BL58" s="453"/>
      <c r="BM58" s="453"/>
      <c r="BN58" s="453"/>
      <c r="BO58" s="453"/>
      <c r="BP58" s="453"/>
      <c r="BQ58" s="453"/>
      <c r="BR58" s="453"/>
      <c r="BS58" s="453"/>
      <c r="BT58" s="453"/>
      <c r="BU58" s="453"/>
      <c r="BV58" s="453"/>
      <c r="BW58" s="453"/>
      <c r="BX58" s="453"/>
      <c r="BY58" s="453"/>
      <c r="BZ58" s="453"/>
      <c r="CA58" s="453"/>
      <c r="CB58" s="453"/>
      <c r="CC58" s="453"/>
      <c r="CD58" s="453"/>
      <c r="CE58" s="453"/>
      <c r="CF58" s="453"/>
      <c r="CG58" s="453"/>
      <c r="CH58" s="453"/>
      <c r="CI58" s="453"/>
      <c r="CJ58" s="453"/>
      <c r="CK58" s="453"/>
      <c r="CL58" s="453"/>
      <c r="CM58" s="453"/>
      <c r="CN58" s="453"/>
      <c r="CO58" s="453"/>
      <c r="CP58" s="453"/>
      <c r="CQ58" s="453"/>
      <c r="CR58" s="453"/>
      <c r="CS58" s="453"/>
      <c r="CT58" s="453"/>
      <c r="CU58" s="453"/>
      <c r="CV58" s="453"/>
      <c r="CW58" s="453"/>
      <c r="CX58" s="453"/>
      <c r="CY58" s="453"/>
      <c r="CZ58" s="453"/>
      <c r="DA58" s="453"/>
      <c r="DB58" s="453"/>
      <c r="DC58" s="453"/>
      <c r="DD58" s="453"/>
      <c r="DE58" s="453"/>
      <c r="DF58" s="453"/>
      <c r="DG58" s="453"/>
      <c r="DH58" s="453"/>
      <c r="DI58" s="453"/>
      <c r="DJ58" s="453"/>
      <c r="DK58" s="453"/>
      <c r="DL58" s="453"/>
      <c r="DM58" s="453"/>
      <c r="DN58" s="453"/>
      <c r="DO58" s="453"/>
    </row>
    <row r="59" spans="1:119" s="180" customFormat="1" ht="23.25" customHeight="1">
      <c r="A59" s="458" t="s">
        <v>611</v>
      </c>
      <c r="B59" s="459">
        <v>4</v>
      </c>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3"/>
      <c r="AH59" s="453"/>
      <c r="AI59" s="453"/>
      <c r="AJ59" s="453"/>
      <c r="AK59" s="453"/>
      <c r="AL59" s="453"/>
      <c r="AM59" s="453"/>
      <c r="AN59" s="453"/>
      <c r="AO59" s="453"/>
      <c r="AP59" s="453"/>
      <c r="AQ59" s="453"/>
      <c r="AR59" s="453"/>
      <c r="AS59" s="453"/>
      <c r="AT59" s="453"/>
      <c r="AU59" s="453"/>
      <c r="AV59" s="453"/>
      <c r="AW59" s="453"/>
      <c r="AX59" s="453"/>
      <c r="AY59" s="453"/>
      <c r="AZ59" s="453"/>
      <c r="BA59" s="453"/>
      <c r="BB59" s="453"/>
      <c r="BC59" s="453"/>
      <c r="BD59" s="453"/>
      <c r="BE59" s="453"/>
      <c r="BF59" s="453"/>
      <c r="BG59" s="453"/>
      <c r="BH59" s="453"/>
      <c r="BI59" s="453"/>
      <c r="BJ59" s="453"/>
      <c r="BK59" s="453"/>
      <c r="BL59" s="453"/>
      <c r="BM59" s="453"/>
      <c r="BN59" s="453"/>
      <c r="BO59" s="453"/>
      <c r="BP59" s="453"/>
      <c r="BQ59" s="453"/>
      <c r="BR59" s="453"/>
      <c r="BS59" s="453"/>
      <c r="BT59" s="453"/>
      <c r="BU59" s="453"/>
      <c r="BV59" s="453"/>
      <c r="BW59" s="453"/>
      <c r="BX59" s="453"/>
      <c r="BY59" s="453"/>
      <c r="BZ59" s="453"/>
      <c r="CA59" s="453"/>
      <c r="CB59" s="453"/>
      <c r="CC59" s="453"/>
      <c r="CD59" s="453"/>
      <c r="CE59" s="453"/>
      <c r="CF59" s="453"/>
      <c r="CG59" s="453"/>
      <c r="CH59" s="453"/>
      <c r="CI59" s="453"/>
      <c r="CJ59" s="453"/>
      <c r="CK59" s="453"/>
      <c r="CL59" s="453"/>
      <c r="CM59" s="453"/>
      <c r="CN59" s="453"/>
      <c r="CO59" s="453"/>
      <c r="CP59" s="453"/>
      <c r="CQ59" s="453"/>
      <c r="CR59" s="453"/>
      <c r="CS59" s="453"/>
      <c r="CT59" s="453"/>
      <c r="CU59" s="453"/>
      <c r="CV59" s="453"/>
      <c r="CW59" s="453"/>
      <c r="CX59" s="453"/>
      <c r="CY59" s="453"/>
      <c r="CZ59" s="453"/>
      <c r="DA59" s="453"/>
      <c r="DB59" s="453"/>
      <c r="DC59" s="453"/>
      <c r="DD59" s="453"/>
      <c r="DE59" s="453"/>
      <c r="DF59" s="453"/>
      <c r="DG59" s="453"/>
      <c r="DH59" s="453"/>
      <c r="DI59" s="453"/>
      <c r="DJ59" s="453"/>
      <c r="DK59" s="453"/>
      <c r="DL59" s="453"/>
      <c r="DM59" s="453"/>
      <c r="DN59" s="453"/>
      <c r="DO59" s="453"/>
    </row>
    <row r="60" spans="1:119" s="180" customFormat="1" ht="23.25" customHeight="1">
      <c r="A60" s="460" t="s">
        <v>33</v>
      </c>
      <c r="B60" s="459">
        <v>5</v>
      </c>
      <c r="C60" s="457"/>
      <c r="D60" s="457"/>
      <c r="E60" s="457"/>
      <c r="F60" s="457"/>
      <c r="G60" s="457"/>
      <c r="H60" s="457"/>
      <c r="I60" s="457"/>
      <c r="J60" s="457"/>
      <c r="K60" s="457"/>
      <c r="L60" s="457"/>
      <c r="M60" s="457"/>
      <c r="N60" s="457"/>
      <c r="O60" s="457"/>
      <c r="P60" s="457"/>
      <c r="Q60" s="457"/>
      <c r="R60" s="457"/>
      <c r="S60" s="457"/>
      <c r="T60" s="457"/>
      <c r="U60" s="457"/>
      <c r="V60" s="457"/>
      <c r="W60" s="457"/>
      <c r="X60" s="457"/>
      <c r="Y60" s="457"/>
      <c r="Z60" s="457"/>
      <c r="AA60" s="457"/>
      <c r="AB60" s="457"/>
      <c r="AC60" s="457"/>
      <c r="AD60" s="457"/>
      <c r="AE60" s="457"/>
      <c r="AF60" s="457"/>
      <c r="AG60" s="453"/>
      <c r="AH60" s="453"/>
      <c r="AI60" s="453"/>
      <c r="AJ60" s="453"/>
      <c r="AK60" s="453"/>
      <c r="AL60" s="453"/>
      <c r="AM60" s="453"/>
      <c r="AN60" s="453"/>
      <c r="AO60" s="453"/>
      <c r="AP60" s="453"/>
      <c r="AQ60" s="453"/>
      <c r="AR60" s="453"/>
      <c r="AS60" s="453"/>
      <c r="AT60" s="453"/>
      <c r="AU60" s="453"/>
      <c r="AV60" s="453"/>
      <c r="AW60" s="453"/>
      <c r="AX60" s="453"/>
      <c r="AY60" s="453"/>
      <c r="AZ60" s="453"/>
      <c r="BA60" s="453"/>
      <c r="BB60" s="453"/>
      <c r="BC60" s="453"/>
      <c r="BD60" s="453"/>
      <c r="BE60" s="453"/>
      <c r="BF60" s="453"/>
      <c r="BG60" s="453"/>
      <c r="BH60" s="453"/>
      <c r="BI60" s="453"/>
      <c r="BJ60" s="453"/>
      <c r="BK60" s="453"/>
      <c r="BL60" s="453"/>
      <c r="BM60" s="453"/>
      <c r="BN60" s="453"/>
      <c r="BO60" s="453"/>
      <c r="BP60" s="453"/>
      <c r="BQ60" s="453"/>
      <c r="BR60" s="453"/>
      <c r="BS60" s="453"/>
      <c r="BT60" s="453"/>
      <c r="BU60" s="453"/>
      <c r="BV60" s="453"/>
      <c r="BW60" s="453"/>
      <c r="BX60" s="453"/>
      <c r="BY60" s="453"/>
      <c r="BZ60" s="453"/>
      <c r="CA60" s="453"/>
      <c r="CB60" s="453"/>
      <c r="CC60" s="453"/>
      <c r="CD60" s="453"/>
      <c r="CE60" s="453"/>
      <c r="CF60" s="453"/>
      <c r="CG60" s="453"/>
      <c r="CH60" s="453"/>
      <c r="CI60" s="453"/>
      <c r="CJ60" s="453"/>
      <c r="CK60" s="453"/>
      <c r="CL60" s="453"/>
      <c r="CM60" s="453"/>
      <c r="CN60" s="453"/>
      <c r="CO60" s="453"/>
      <c r="CP60" s="453"/>
      <c r="CQ60" s="453"/>
      <c r="CR60" s="453"/>
      <c r="CS60" s="453"/>
      <c r="CT60" s="453"/>
      <c r="CU60" s="453"/>
      <c r="CV60" s="453"/>
      <c r="CW60" s="453"/>
      <c r="CX60" s="453"/>
      <c r="CY60" s="453"/>
      <c r="CZ60" s="453"/>
      <c r="DA60" s="453"/>
      <c r="DB60" s="453"/>
      <c r="DC60" s="453"/>
      <c r="DD60" s="453"/>
      <c r="DE60" s="453"/>
      <c r="DF60" s="453"/>
      <c r="DG60" s="453"/>
      <c r="DH60" s="453"/>
      <c r="DI60" s="453"/>
      <c r="DJ60" s="453"/>
      <c r="DK60" s="453"/>
      <c r="DL60" s="453"/>
      <c r="DM60" s="453"/>
      <c r="DN60" s="453"/>
      <c r="DO60" s="453"/>
    </row>
    <row r="61" spans="1:119" s="180" customFormat="1" ht="24.95" customHeight="1">
      <c r="A61" s="461" t="s">
        <v>612</v>
      </c>
      <c r="B61" s="462"/>
      <c r="C61" s="463" t="str">
        <f t="shared" ref="C61:AF61" si="13">IF(C56&lt;&gt;"",SUM(C56:C60),"")</f>
        <v/>
      </c>
      <c r="D61" s="463" t="str">
        <f t="shared" si="13"/>
        <v/>
      </c>
      <c r="E61" s="463" t="str">
        <f t="shared" si="13"/>
        <v/>
      </c>
      <c r="F61" s="463" t="str">
        <f t="shared" si="13"/>
        <v/>
      </c>
      <c r="G61" s="463" t="str">
        <f t="shared" si="13"/>
        <v/>
      </c>
      <c r="H61" s="463" t="str">
        <f t="shared" si="13"/>
        <v/>
      </c>
      <c r="I61" s="463" t="str">
        <f t="shared" si="13"/>
        <v/>
      </c>
      <c r="J61" s="463" t="str">
        <f t="shared" si="13"/>
        <v/>
      </c>
      <c r="K61" s="463" t="str">
        <f t="shared" si="13"/>
        <v/>
      </c>
      <c r="L61" s="463" t="str">
        <f t="shared" si="13"/>
        <v/>
      </c>
      <c r="M61" s="463" t="str">
        <f t="shared" si="13"/>
        <v/>
      </c>
      <c r="N61" s="463" t="str">
        <f t="shared" si="13"/>
        <v/>
      </c>
      <c r="O61" s="463" t="str">
        <f t="shared" si="13"/>
        <v/>
      </c>
      <c r="P61" s="463" t="str">
        <f t="shared" si="13"/>
        <v/>
      </c>
      <c r="Q61" s="463" t="str">
        <f t="shared" si="13"/>
        <v/>
      </c>
      <c r="R61" s="463" t="str">
        <f t="shared" si="13"/>
        <v/>
      </c>
      <c r="S61" s="463" t="str">
        <f t="shared" si="13"/>
        <v/>
      </c>
      <c r="T61" s="463" t="str">
        <f t="shared" si="13"/>
        <v/>
      </c>
      <c r="U61" s="463" t="str">
        <f t="shared" si="13"/>
        <v/>
      </c>
      <c r="V61" s="463" t="str">
        <f t="shared" si="13"/>
        <v/>
      </c>
      <c r="W61" s="463" t="str">
        <f t="shared" si="13"/>
        <v/>
      </c>
      <c r="X61" s="463" t="str">
        <f t="shared" si="13"/>
        <v/>
      </c>
      <c r="Y61" s="463" t="str">
        <f t="shared" si="13"/>
        <v/>
      </c>
      <c r="Z61" s="463" t="str">
        <f t="shared" si="13"/>
        <v/>
      </c>
      <c r="AA61" s="463" t="str">
        <f t="shared" si="13"/>
        <v/>
      </c>
      <c r="AB61" s="463" t="str">
        <f t="shared" si="13"/>
        <v/>
      </c>
      <c r="AC61" s="463" t="str">
        <f t="shared" si="13"/>
        <v/>
      </c>
      <c r="AD61" s="463" t="str">
        <f t="shared" si="13"/>
        <v/>
      </c>
      <c r="AE61" s="463" t="str">
        <f t="shared" si="13"/>
        <v/>
      </c>
      <c r="AF61" s="463" t="str">
        <f t="shared" si="13"/>
        <v/>
      </c>
      <c r="AG61" s="453"/>
      <c r="AH61" s="453"/>
      <c r="AI61" s="453"/>
      <c r="AJ61" s="453"/>
      <c r="AK61" s="453"/>
      <c r="AL61" s="453"/>
      <c r="AM61" s="453"/>
      <c r="AN61" s="453"/>
      <c r="AO61" s="453"/>
      <c r="AP61" s="453"/>
      <c r="AQ61" s="453"/>
      <c r="AR61" s="453"/>
      <c r="AS61" s="453"/>
      <c r="AT61" s="453"/>
      <c r="AU61" s="453"/>
      <c r="AV61" s="453"/>
      <c r="AW61" s="453"/>
      <c r="AX61" s="453"/>
      <c r="AY61" s="453"/>
      <c r="AZ61" s="453"/>
      <c r="BA61" s="453"/>
      <c r="BB61" s="453"/>
      <c r="BC61" s="453"/>
      <c r="BD61" s="453"/>
      <c r="BE61" s="453"/>
      <c r="BF61" s="453"/>
      <c r="BG61" s="453"/>
      <c r="BH61" s="453"/>
      <c r="BI61" s="453"/>
      <c r="BJ61" s="453"/>
      <c r="BK61" s="453"/>
      <c r="BL61" s="453"/>
      <c r="BM61" s="453"/>
      <c r="BN61" s="453"/>
      <c r="BO61" s="453"/>
      <c r="BP61" s="453"/>
      <c r="BQ61" s="453"/>
      <c r="BR61" s="453"/>
      <c r="BS61" s="453"/>
      <c r="BT61" s="453"/>
      <c r="BU61" s="453"/>
      <c r="BV61" s="453"/>
      <c r="BW61" s="453"/>
      <c r="BX61" s="453"/>
      <c r="BY61" s="453"/>
      <c r="BZ61" s="453"/>
      <c r="CA61" s="453"/>
      <c r="CB61" s="453"/>
      <c r="CC61" s="453"/>
      <c r="CD61" s="453"/>
      <c r="CE61" s="453"/>
      <c r="CF61" s="453"/>
      <c r="CG61" s="453"/>
      <c r="CH61" s="453"/>
      <c r="CI61" s="453"/>
      <c r="CJ61" s="453"/>
      <c r="CK61" s="453"/>
      <c r="CL61" s="453"/>
      <c r="CM61" s="453"/>
      <c r="CN61" s="453"/>
      <c r="CO61" s="453"/>
      <c r="CP61" s="453"/>
      <c r="CQ61" s="453"/>
      <c r="CR61" s="453"/>
      <c r="CS61" s="453"/>
      <c r="CT61" s="453"/>
      <c r="CU61" s="453"/>
      <c r="CV61" s="453"/>
      <c r="CW61" s="453"/>
      <c r="CX61" s="453"/>
      <c r="CY61" s="453"/>
      <c r="CZ61" s="453"/>
      <c r="DA61" s="453"/>
      <c r="DB61" s="453"/>
      <c r="DC61" s="453"/>
      <c r="DD61" s="453"/>
      <c r="DE61" s="453"/>
      <c r="DF61" s="453"/>
      <c r="DG61" s="453"/>
      <c r="DH61" s="453"/>
      <c r="DI61" s="453"/>
      <c r="DJ61" s="453"/>
      <c r="DK61" s="453"/>
      <c r="DL61" s="453"/>
      <c r="DM61" s="453"/>
      <c r="DN61" s="453"/>
      <c r="DO61" s="453"/>
    </row>
    <row r="62" spans="1:119" s="180" customFormat="1" ht="24.95" customHeight="1">
      <c r="A62" s="464" t="s">
        <v>613</v>
      </c>
      <c r="B62" s="465" t="s">
        <v>614</v>
      </c>
      <c r="C62" s="463" t="str">
        <f t="shared" ref="C62:AF62" si="14">IF(C56&lt;&gt;"",AVERAGE(C56:C60),"")</f>
        <v/>
      </c>
      <c r="D62" s="463" t="str">
        <f t="shared" si="14"/>
        <v/>
      </c>
      <c r="E62" s="463" t="str">
        <f t="shared" si="14"/>
        <v/>
      </c>
      <c r="F62" s="463" t="str">
        <f t="shared" si="14"/>
        <v/>
      </c>
      <c r="G62" s="463" t="str">
        <f t="shared" si="14"/>
        <v/>
      </c>
      <c r="H62" s="463" t="str">
        <f t="shared" si="14"/>
        <v/>
      </c>
      <c r="I62" s="463" t="str">
        <f t="shared" si="14"/>
        <v/>
      </c>
      <c r="J62" s="463" t="str">
        <f t="shared" si="14"/>
        <v/>
      </c>
      <c r="K62" s="463" t="str">
        <f t="shared" si="14"/>
        <v/>
      </c>
      <c r="L62" s="463" t="str">
        <f t="shared" si="14"/>
        <v/>
      </c>
      <c r="M62" s="463" t="str">
        <f t="shared" si="14"/>
        <v/>
      </c>
      <c r="N62" s="463" t="str">
        <f t="shared" si="14"/>
        <v/>
      </c>
      <c r="O62" s="463" t="str">
        <f t="shared" si="14"/>
        <v/>
      </c>
      <c r="P62" s="463" t="str">
        <f t="shared" si="14"/>
        <v/>
      </c>
      <c r="Q62" s="463" t="str">
        <f t="shared" si="14"/>
        <v/>
      </c>
      <c r="R62" s="463" t="str">
        <f t="shared" si="14"/>
        <v/>
      </c>
      <c r="S62" s="463" t="str">
        <f t="shared" si="14"/>
        <v/>
      </c>
      <c r="T62" s="463" t="str">
        <f t="shared" si="14"/>
        <v/>
      </c>
      <c r="U62" s="463" t="str">
        <f t="shared" si="14"/>
        <v/>
      </c>
      <c r="V62" s="463" t="str">
        <f t="shared" si="14"/>
        <v/>
      </c>
      <c r="W62" s="463" t="str">
        <f t="shared" si="14"/>
        <v/>
      </c>
      <c r="X62" s="463" t="str">
        <f t="shared" si="14"/>
        <v/>
      </c>
      <c r="Y62" s="463" t="str">
        <f t="shared" si="14"/>
        <v/>
      </c>
      <c r="Z62" s="463" t="str">
        <f t="shared" si="14"/>
        <v/>
      </c>
      <c r="AA62" s="463" t="str">
        <f t="shared" si="14"/>
        <v/>
      </c>
      <c r="AB62" s="463" t="str">
        <f t="shared" si="14"/>
        <v/>
      </c>
      <c r="AC62" s="463" t="str">
        <f t="shared" si="14"/>
        <v/>
      </c>
      <c r="AD62" s="463" t="str">
        <f t="shared" si="14"/>
        <v/>
      </c>
      <c r="AE62" s="463" t="str">
        <f t="shared" si="14"/>
        <v/>
      </c>
      <c r="AF62" s="463" t="str">
        <f t="shared" si="14"/>
        <v/>
      </c>
      <c r="AG62" s="453"/>
      <c r="AH62" s="453"/>
      <c r="AI62" s="453"/>
      <c r="AJ62" s="453"/>
      <c r="AK62" s="453"/>
      <c r="AL62" s="453"/>
      <c r="AM62" s="453"/>
      <c r="AN62" s="453"/>
      <c r="AO62" s="453"/>
      <c r="AP62" s="453"/>
      <c r="AQ62" s="453"/>
      <c r="AR62" s="453"/>
      <c r="AS62" s="453"/>
      <c r="AT62" s="453"/>
      <c r="AU62" s="453"/>
      <c r="AV62" s="453"/>
      <c r="AW62" s="453"/>
      <c r="AX62" s="453"/>
      <c r="AY62" s="453"/>
      <c r="AZ62" s="453"/>
      <c r="BA62" s="453"/>
      <c r="BB62" s="453"/>
      <c r="BC62" s="453"/>
      <c r="BD62" s="453"/>
      <c r="BE62" s="453"/>
      <c r="BF62" s="453"/>
      <c r="BG62" s="453"/>
      <c r="BH62" s="453"/>
      <c r="BI62" s="453"/>
      <c r="BJ62" s="453"/>
      <c r="BK62" s="453"/>
      <c r="BL62" s="453"/>
      <c r="BM62" s="453"/>
      <c r="BN62" s="453"/>
      <c r="BO62" s="453"/>
      <c r="BP62" s="453"/>
      <c r="BQ62" s="453"/>
      <c r="BR62" s="453"/>
      <c r="BS62" s="453"/>
      <c r="BT62" s="453"/>
      <c r="BU62" s="453"/>
      <c r="BV62" s="453"/>
      <c r="BW62" s="453"/>
      <c r="BX62" s="453"/>
      <c r="BY62" s="453"/>
      <c r="BZ62" s="453"/>
      <c r="CA62" s="453"/>
      <c r="CB62" s="453"/>
      <c r="CC62" s="453"/>
      <c r="CD62" s="453"/>
      <c r="CE62" s="453"/>
      <c r="CF62" s="453"/>
      <c r="CG62" s="453"/>
      <c r="CH62" s="453"/>
      <c r="CI62" s="453"/>
      <c r="CJ62" s="453"/>
      <c r="CK62" s="453"/>
      <c r="CL62" s="453"/>
      <c r="CM62" s="453"/>
      <c r="CN62" s="453"/>
      <c r="CO62" s="453"/>
      <c r="CP62" s="453"/>
      <c r="CQ62" s="453"/>
      <c r="CR62" s="453"/>
      <c r="CS62" s="453"/>
      <c r="CT62" s="453"/>
      <c r="CU62" s="453"/>
      <c r="CV62" s="453"/>
      <c r="CW62" s="453"/>
      <c r="CX62" s="453"/>
      <c r="CY62" s="453"/>
      <c r="CZ62" s="453"/>
      <c r="DA62" s="453"/>
      <c r="DB62" s="453"/>
      <c r="DC62" s="453"/>
      <c r="DD62" s="453"/>
      <c r="DE62" s="453"/>
      <c r="DF62" s="453"/>
      <c r="DG62" s="453"/>
      <c r="DH62" s="453"/>
      <c r="DI62" s="453"/>
      <c r="DJ62" s="453"/>
      <c r="DK62" s="453"/>
      <c r="DL62" s="453"/>
      <c r="DM62" s="453"/>
      <c r="DN62" s="453"/>
      <c r="DO62" s="453"/>
    </row>
    <row r="63" spans="1:119" s="180" customFormat="1" ht="24.95" customHeight="1">
      <c r="A63" s="466" t="s">
        <v>160</v>
      </c>
      <c r="B63" s="465" t="s">
        <v>615</v>
      </c>
      <c r="C63" s="463" t="str">
        <f t="shared" ref="C63:AF63" si="15">IF(C56&lt;&gt;"",MAX(C56:C60)-MIN(C56:C60),"")</f>
        <v/>
      </c>
      <c r="D63" s="463" t="str">
        <f t="shared" si="15"/>
        <v/>
      </c>
      <c r="E63" s="463" t="str">
        <f t="shared" si="15"/>
        <v/>
      </c>
      <c r="F63" s="463" t="str">
        <f t="shared" si="15"/>
        <v/>
      </c>
      <c r="G63" s="463" t="str">
        <f t="shared" si="15"/>
        <v/>
      </c>
      <c r="H63" s="463" t="str">
        <f t="shared" si="15"/>
        <v/>
      </c>
      <c r="I63" s="463" t="str">
        <f t="shared" si="15"/>
        <v/>
      </c>
      <c r="J63" s="463" t="str">
        <f t="shared" si="15"/>
        <v/>
      </c>
      <c r="K63" s="463" t="str">
        <f t="shared" si="15"/>
        <v/>
      </c>
      <c r="L63" s="463" t="str">
        <f t="shared" si="15"/>
        <v/>
      </c>
      <c r="M63" s="463" t="str">
        <f t="shared" si="15"/>
        <v/>
      </c>
      <c r="N63" s="463" t="str">
        <f t="shared" si="15"/>
        <v/>
      </c>
      <c r="O63" s="463" t="str">
        <f t="shared" si="15"/>
        <v/>
      </c>
      <c r="P63" s="463" t="str">
        <f t="shared" si="15"/>
        <v/>
      </c>
      <c r="Q63" s="463" t="str">
        <f t="shared" si="15"/>
        <v/>
      </c>
      <c r="R63" s="463" t="str">
        <f t="shared" si="15"/>
        <v/>
      </c>
      <c r="S63" s="463" t="str">
        <f t="shared" si="15"/>
        <v/>
      </c>
      <c r="T63" s="463" t="str">
        <f t="shared" si="15"/>
        <v/>
      </c>
      <c r="U63" s="463" t="str">
        <f t="shared" si="15"/>
        <v/>
      </c>
      <c r="V63" s="463" t="str">
        <f t="shared" si="15"/>
        <v/>
      </c>
      <c r="W63" s="463" t="str">
        <f t="shared" si="15"/>
        <v/>
      </c>
      <c r="X63" s="463" t="str">
        <f t="shared" si="15"/>
        <v/>
      </c>
      <c r="Y63" s="463" t="str">
        <f t="shared" si="15"/>
        <v/>
      </c>
      <c r="Z63" s="463" t="str">
        <f t="shared" si="15"/>
        <v/>
      </c>
      <c r="AA63" s="463" t="str">
        <f t="shared" si="15"/>
        <v/>
      </c>
      <c r="AB63" s="463" t="str">
        <f t="shared" si="15"/>
        <v/>
      </c>
      <c r="AC63" s="463" t="str">
        <f t="shared" si="15"/>
        <v/>
      </c>
      <c r="AD63" s="463" t="str">
        <f t="shared" si="15"/>
        <v/>
      </c>
      <c r="AE63" s="463" t="str">
        <f t="shared" si="15"/>
        <v/>
      </c>
      <c r="AF63" s="463" t="str">
        <f t="shared" si="15"/>
        <v/>
      </c>
      <c r="AG63" s="453"/>
      <c r="AH63" s="453"/>
      <c r="AI63" s="453"/>
      <c r="AJ63" s="453"/>
      <c r="AK63" s="453"/>
      <c r="AL63" s="453"/>
      <c r="AM63" s="453"/>
      <c r="AN63" s="453"/>
      <c r="AO63" s="453"/>
      <c r="AP63" s="453"/>
      <c r="AQ63" s="453"/>
      <c r="AR63" s="453"/>
      <c r="AS63" s="453"/>
      <c r="AT63" s="453"/>
      <c r="AU63" s="453"/>
      <c r="AV63" s="453"/>
      <c r="AW63" s="453"/>
      <c r="AX63" s="453"/>
      <c r="AY63" s="453"/>
      <c r="AZ63" s="453"/>
      <c r="BA63" s="453"/>
      <c r="BB63" s="453"/>
      <c r="BC63" s="453"/>
      <c r="BD63" s="453"/>
      <c r="BE63" s="453"/>
      <c r="BF63" s="453"/>
      <c r="BG63" s="453"/>
      <c r="BH63" s="453"/>
      <c r="BI63" s="453"/>
      <c r="BJ63" s="453"/>
      <c r="BK63" s="453"/>
      <c r="BL63" s="453"/>
      <c r="BM63" s="453"/>
      <c r="BN63" s="453"/>
      <c r="BO63" s="453"/>
      <c r="BP63" s="453"/>
      <c r="BQ63" s="453"/>
      <c r="BR63" s="453"/>
      <c r="BS63" s="453"/>
      <c r="BT63" s="453"/>
      <c r="BU63" s="453"/>
      <c r="BV63" s="453"/>
      <c r="BW63" s="453"/>
      <c r="BX63" s="453"/>
      <c r="BY63" s="453"/>
      <c r="BZ63" s="453"/>
      <c r="CA63" s="453"/>
      <c r="CB63" s="453"/>
      <c r="CC63" s="453"/>
      <c r="CD63" s="453"/>
      <c r="CE63" s="453"/>
      <c r="CF63" s="453"/>
      <c r="CG63" s="453"/>
      <c r="CH63" s="453"/>
      <c r="CI63" s="453"/>
      <c r="CJ63" s="453"/>
      <c r="CK63" s="453"/>
      <c r="CL63" s="453"/>
      <c r="CM63" s="453"/>
      <c r="CN63" s="453"/>
      <c r="CO63" s="453"/>
      <c r="CP63" s="453"/>
      <c r="CQ63" s="453"/>
      <c r="CR63" s="453"/>
      <c r="CS63" s="453"/>
      <c r="CT63" s="453"/>
      <c r="CU63" s="453"/>
      <c r="CV63" s="453"/>
      <c r="CW63" s="453"/>
      <c r="CX63" s="453"/>
      <c r="CY63" s="453"/>
      <c r="CZ63" s="453"/>
      <c r="DA63" s="453"/>
      <c r="DB63" s="453"/>
      <c r="DC63" s="453"/>
      <c r="DD63" s="453"/>
      <c r="DE63" s="453"/>
      <c r="DF63" s="453"/>
      <c r="DG63" s="453"/>
      <c r="DH63" s="453"/>
      <c r="DI63" s="453"/>
      <c r="DJ63" s="453"/>
      <c r="DK63" s="453"/>
      <c r="DL63" s="453"/>
      <c r="DM63" s="453"/>
      <c r="DN63" s="453"/>
      <c r="DO63" s="453"/>
    </row>
    <row r="64" spans="1:119">
      <c r="C64" s="467" t="str">
        <f t="shared" ref="C64:AF64" si="16">IF(C63&lt;&gt;"",IF(C63&gt;$H$33,"**",""),"")</f>
        <v/>
      </c>
      <c r="D64" s="467" t="str">
        <f t="shared" si="16"/>
        <v/>
      </c>
      <c r="E64" s="467" t="str">
        <f t="shared" si="16"/>
        <v/>
      </c>
      <c r="F64" s="467" t="str">
        <f t="shared" si="16"/>
        <v/>
      </c>
      <c r="G64" s="467" t="str">
        <f t="shared" si="16"/>
        <v/>
      </c>
      <c r="H64" s="467" t="str">
        <f t="shared" si="16"/>
        <v/>
      </c>
      <c r="I64" s="467" t="str">
        <f t="shared" si="16"/>
        <v/>
      </c>
      <c r="J64" s="467" t="str">
        <f t="shared" si="16"/>
        <v/>
      </c>
      <c r="K64" s="467" t="str">
        <f t="shared" si="16"/>
        <v/>
      </c>
      <c r="L64" s="467" t="str">
        <f t="shared" si="16"/>
        <v/>
      </c>
      <c r="M64" s="467" t="str">
        <f t="shared" si="16"/>
        <v/>
      </c>
      <c r="N64" s="467" t="str">
        <f t="shared" si="16"/>
        <v/>
      </c>
      <c r="O64" s="467" t="str">
        <f t="shared" si="16"/>
        <v/>
      </c>
      <c r="P64" s="467" t="str">
        <f t="shared" si="16"/>
        <v/>
      </c>
      <c r="Q64" s="467" t="str">
        <f t="shared" si="16"/>
        <v/>
      </c>
      <c r="R64" s="467" t="str">
        <f t="shared" si="16"/>
        <v/>
      </c>
      <c r="S64" s="467" t="str">
        <f t="shared" si="16"/>
        <v/>
      </c>
      <c r="T64" s="467" t="str">
        <f t="shared" si="16"/>
        <v/>
      </c>
      <c r="U64" s="467" t="str">
        <f t="shared" si="16"/>
        <v/>
      </c>
      <c r="V64" s="467" t="str">
        <f t="shared" si="16"/>
        <v/>
      </c>
      <c r="W64" s="467" t="str">
        <f t="shared" si="16"/>
        <v/>
      </c>
      <c r="X64" s="467" t="str">
        <f t="shared" si="16"/>
        <v/>
      </c>
      <c r="Y64" s="467" t="str">
        <f t="shared" si="16"/>
        <v/>
      </c>
      <c r="Z64" s="467" t="str">
        <f t="shared" si="16"/>
        <v/>
      </c>
      <c r="AA64" s="467" t="str">
        <f t="shared" si="16"/>
        <v/>
      </c>
      <c r="AB64" s="467" t="str">
        <f t="shared" si="16"/>
        <v/>
      </c>
      <c r="AC64" s="467" t="str">
        <f t="shared" si="16"/>
        <v/>
      </c>
      <c r="AD64" s="467" t="str">
        <f t="shared" si="16"/>
        <v/>
      </c>
      <c r="AE64" s="467" t="str">
        <f t="shared" si="16"/>
        <v/>
      </c>
      <c r="AF64" s="467" t="str">
        <f t="shared" si="16"/>
        <v/>
      </c>
      <c r="AH64" s="453"/>
      <c r="AI64" s="453"/>
      <c r="AJ64" s="453"/>
      <c r="AK64" s="453"/>
      <c r="AL64" s="453"/>
      <c r="AM64" s="453"/>
      <c r="AN64" s="453"/>
      <c r="AO64" s="453"/>
      <c r="AP64" s="453"/>
      <c r="AQ64" s="453"/>
      <c r="AR64" s="453"/>
      <c r="AS64" s="453"/>
      <c r="AT64" s="453"/>
      <c r="AU64" s="453"/>
      <c r="AV64" s="453"/>
      <c r="AW64" s="453"/>
      <c r="AX64" s="453"/>
      <c r="AY64" s="453"/>
      <c r="AZ64" s="453"/>
      <c r="BA64" s="453"/>
      <c r="BB64" s="453"/>
      <c r="BC64" s="453"/>
      <c r="BD64" s="453"/>
      <c r="BE64" s="453"/>
      <c r="BF64" s="453"/>
      <c r="BG64" s="453"/>
      <c r="BH64" s="453"/>
      <c r="BI64" s="453"/>
      <c r="BJ64" s="453"/>
      <c r="BK64" s="453"/>
      <c r="BL64" s="453"/>
    </row>
    <row r="65" spans="1:121">
      <c r="C65" s="160" t="s">
        <v>616</v>
      </c>
      <c r="AH65" s="453"/>
      <c r="AI65" s="453"/>
      <c r="AJ65" s="453"/>
      <c r="AK65" s="453"/>
      <c r="AL65" s="453"/>
      <c r="AM65" s="453"/>
      <c r="AN65" s="453"/>
      <c r="AO65" s="453"/>
      <c r="AP65" s="453"/>
      <c r="AQ65" s="453"/>
      <c r="AR65" s="453"/>
      <c r="AS65" s="453"/>
      <c r="AT65" s="453"/>
      <c r="AU65" s="453"/>
      <c r="AV65" s="453"/>
      <c r="AW65" s="453"/>
      <c r="AX65" s="453"/>
      <c r="AY65" s="453"/>
      <c r="AZ65" s="453"/>
      <c r="BA65" s="453"/>
      <c r="BB65" s="453"/>
      <c r="BC65" s="453"/>
      <c r="BD65" s="453"/>
      <c r="BE65" s="453"/>
      <c r="BF65" s="453"/>
      <c r="BG65" s="453"/>
      <c r="BH65" s="453"/>
      <c r="BI65" s="453"/>
      <c r="BJ65" s="453"/>
      <c r="BK65" s="453"/>
      <c r="BL65" s="453"/>
    </row>
    <row r="68" spans="1:121" ht="20.25">
      <c r="A68" s="468"/>
      <c r="B68" s="1090" t="s">
        <v>617</v>
      </c>
      <c r="C68" s="1090"/>
      <c r="D68" s="1090"/>
      <c r="E68" s="1090"/>
      <c r="F68" s="1090"/>
      <c r="G68" s="1090"/>
      <c r="H68" s="1090"/>
      <c r="I68" s="1090"/>
      <c r="J68" s="1090"/>
      <c r="K68" s="1090"/>
      <c r="L68" s="1090"/>
      <c r="M68" s="1090"/>
      <c r="N68" s="1090"/>
      <c r="O68" s="1090"/>
      <c r="P68" s="1090"/>
      <c r="Q68" s="1090"/>
      <c r="R68" s="1090"/>
      <c r="S68" s="1090"/>
      <c r="T68" s="1090"/>
      <c r="U68" s="1090"/>
      <c r="V68" s="1090"/>
      <c r="W68" s="1090"/>
      <c r="X68" s="1090"/>
      <c r="Y68" s="1090"/>
      <c r="Z68" s="1090"/>
      <c r="AA68" s="1090"/>
      <c r="AB68" s="1090"/>
      <c r="AC68" s="1090"/>
      <c r="AD68" s="1090"/>
      <c r="AE68" s="1090"/>
      <c r="AF68" s="1091"/>
    </row>
    <row r="69" spans="1:121">
      <c r="A69" s="115"/>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7"/>
    </row>
    <row r="70" spans="1:121" ht="14.25">
      <c r="A70" s="109"/>
      <c r="B70" s="4" t="s">
        <v>618</v>
      </c>
      <c r="C70" s="4"/>
      <c r="D70" s="4"/>
      <c r="E70" s="4"/>
      <c r="F70" s="4"/>
      <c r="G70" s="4"/>
      <c r="H70" s="4" t="s">
        <v>720</v>
      </c>
      <c r="I70" s="4"/>
      <c r="J70" s="4"/>
      <c r="K70" s="4"/>
      <c r="L70" s="4"/>
      <c r="M70" s="4"/>
      <c r="N70" s="4"/>
      <c r="O70" s="4"/>
      <c r="P70" s="4"/>
      <c r="Q70" s="4"/>
      <c r="R70" s="4"/>
      <c r="S70" s="4"/>
      <c r="T70" s="1058" t="str">
        <f>C33</f>
        <v/>
      </c>
      <c r="U70" s="1058"/>
      <c r="V70" s="4"/>
      <c r="W70" s="4"/>
      <c r="X70" s="4"/>
      <c r="Y70" s="4"/>
      <c r="Z70" s="1039" t="s">
        <v>48</v>
      </c>
      <c r="AA70" s="1039"/>
      <c r="AB70" s="1039" t="s">
        <v>721</v>
      </c>
      <c r="AC70" s="1039"/>
      <c r="AD70" s="4"/>
      <c r="AE70" s="4"/>
      <c r="AF70" s="110"/>
    </row>
    <row r="71" spans="1:121">
      <c r="A71" s="109"/>
      <c r="B71" s="4"/>
      <c r="C71" s="4"/>
      <c r="D71" s="4"/>
      <c r="E71" s="4"/>
      <c r="F71" s="4"/>
      <c r="G71" s="4"/>
      <c r="H71" s="4"/>
      <c r="I71" s="4"/>
      <c r="J71" s="4"/>
      <c r="K71" s="4"/>
      <c r="L71" s="4"/>
      <c r="M71" s="4"/>
      <c r="N71" s="4"/>
      <c r="O71" s="4"/>
      <c r="P71" s="4"/>
      <c r="Q71" s="4"/>
      <c r="R71" s="4"/>
      <c r="S71" s="4"/>
      <c r="T71" s="4"/>
      <c r="U71" s="4"/>
      <c r="V71" s="4"/>
      <c r="W71" s="4"/>
      <c r="X71" s="4"/>
      <c r="Y71" s="4"/>
      <c r="Z71" s="1085">
        <v>2</v>
      </c>
      <c r="AA71" s="1085"/>
      <c r="AB71" s="1085">
        <v>1.1259999999999999</v>
      </c>
      <c r="AC71" s="1085"/>
      <c r="AD71" s="4"/>
      <c r="AE71" s="4"/>
      <c r="AF71" s="110"/>
    </row>
    <row r="72" spans="1:121">
      <c r="A72" s="109"/>
      <c r="B72" s="4"/>
      <c r="C72" s="4"/>
      <c r="D72" s="4"/>
      <c r="E72" s="4"/>
      <c r="F72" s="4"/>
      <c r="G72" s="4"/>
      <c r="H72" s="4" t="s">
        <v>619</v>
      </c>
      <c r="I72" s="4"/>
      <c r="J72" s="4"/>
      <c r="K72" s="4"/>
      <c r="L72" s="4"/>
      <c r="M72" s="4"/>
      <c r="N72" s="4"/>
      <c r="O72" s="4"/>
      <c r="P72" s="4"/>
      <c r="Q72" s="4"/>
      <c r="R72" s="4"/>
      <c r="S72" s="4"/>
      <c r="T72" s="905" t="str">
        <f>IF(C56&lt;&gt;"",COUNT(C56:C60),"")</f>
        <v/>
      </c>
      <c r="U72" s="905"/>
      <c r="V72" s="4"/>
      <c r="W72" s="4"/>
      <c r="X72" s="4"/>
      <c r="Y72" s="4"/>
      <c r="Z72" s="1085">
        <v>3</v>
      </c>
      <c r="AA72" s="1085"/>
      <c r="AB72" s="1085">
        <v>1.6930000000000001</v>
      </c>
      <c r="AC72" s="1085"/>
      <c r="AD72" s="4"/>
      <c r="AE72" s="4"/>
      <c r="AF72" s="110"/>
    </row>
    <row r="73" spans="1:121">
      <c r="A73" s="109"/>
      <c r="B73" s="4"/>
      <c r="C73" s="4"/>
      <c r="D73" s="4"/>
      <c r="E73" s="4"/>
      <c r="F73" s="4"/>
      <c r="G73" s="4"/>
      <c r="H73" s="4"/>
      <c r="I73" s="4"/>
      <c r="J73" s="4"/>
      <c r="K73" s="4"/>
      <c r="L73" s="4"/>
      <c r="M73" s="4"/>
      <c r="N73" s="4"/>
      <c r="O73" s="4"/>
      <c r="P73" s="4"/>
      <c r="Q73" s="4"/>
      <c r="R73" s="4"/>
      <c r="S73" s="4"/>
      <c r="T73" s="4"/>
      <c r="U73" s="4"/>
      <c r="V73" s="4"/>
      <c r="W73" s="4"/>
      <c r="X73" s="4"/>
      <c r="Y73" s="4"/>
      <c r="Z73" s="1085">
        <v>4</v>
      </c>
      <c r="AA73" s="1085"/>
      <c r="AB73" s="1085">
        <v>2.0590000000000002</v>
      </c>
      <c r="AC73" s="1085"/>
      <c r="AD73" s="4"/>
      <c r="AE73" s="4"/>
      <c r="AF73" s="110"/>
    </row>
    <row r="74" spans="1:121" ht="15.75">
      <c r="A74" s="109"/>
      <c r="B74" s="4"/>
      <c r="C74" s="4"/>
      <c r="D74" s="4"/>
      <c r="E74" s="4"/>
      <c r="F74" s="4"/>
      <c r="G74" s="4"/>
      <c r="H74" s="4" t="s">
        <v>722</v>
      </c>
      <c r="I74" s="4"/>
      <c r="J74" s="4"/>
      <c r="K74" s="4"/>
      <c r="L74" s="4"/>
      <c r="M74" s="4"/>
      <c r="N74" s="4"/>
      <c r="O74" s="4"/>
      <c r="P74" s="4"/>
      <c r="Q74" s="4"/>
      <c r="R74" s="4"/>
      <c r="S74" s="4"/>
      <c r="T74" s="1093" t="str">
        <f>IF(T70&lt;&gt;"",T70/VLOOKUP(T72,Z71:AC74,3),"")</f>
        <v/>
      </c>
      <c r="U74" s="1045"/>
      <c r="V74" s="4"/>
      <c r="W74" s="4"/>
      <c r="X74" s="4"/>
      <c r="Y74" s="4"/>
      <c r="Z74" s="1085">
        <v>5</v>
      </c>
      <c r="AA74" s="1085"/>
      <c r="AB74" s="1085">
        <v>2.3260000000000001</v>
      </c>
      <c r="AC74" s="1085"/>
      <c r="AD74" s="4"/>
      <c r="AE74" s="4"/>
      <c r="AF74" s="110"/>
    </row>
    <row r="75" spans="1:121">
      <c r="A75" s="109"/>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110"/>
    </row>
    <row r="76" spans="1:121">
      <c r="A76" s="109"/>
      <c r="B76" s="4" t="s">
        <v>620</v>
      </c>
      <c r="C76" s="4"/>
      <c r="D76" s="4"/>
      <c r="E76" s="4"/>
      <c r="F76" s="4"/>
      <c r="G76" s="4"/>
      <c r="H76" s="4"/>
      <c r="I76" s="4"/>
      <c r="J76" s="4"/>
      <c r="K76" s="4"/>
      <c r="L76" s="4"/>
      <c r="M76" s="4"/>
      <c r="N76" s="4"/>
      <c r="O76" s="4"/>
      <c r="P76" s="4"/>
      <c r="Q76" s="4"/>
      <c r="R76" s="4"/>
      <c r="S76" s="4"/>
      <c r="T76" s="4"/>
      <c r="U76" s="4"/>
      <c r="V76" s="4"/>
      <c r="W76" s="4"/>
      <c r="X76" s="4"/>
      <c r="Y76" s="905" t="s">
        <v>621</v>
      </c>
      <c r="Z76" s="905"/>
      <c r="AA76" s="905"/>
      <c r="AB76" s="905"/>
      <c r="AC76" s="905"/>
      <c r="AD76" s="905"/>
      <c r="AE76" s="4"/>
      <c r="AF76" s="110"/>
    </row>
    <row r="77" spans="1:121">
      <c r="A77" s="109"/>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110"/>
    </row>
    <row r="78" spans="1:121" ht="15.75">
      <c r="A78" s="109"/>
      <c r="B78" s="4"/>
      <c r="C78" s="1039" t="s">
        <v>723</v>
      </c>
      <c r="D78" s="1039"/>
      <c r="E78" s="1039" t="s">
        <v>724</v>
      </c>
      <c r="F78" s="1039"/>
      <c r="G78" s="4"/>
      <c r="H78" s="4" t="s">
        <v>725</v>
      </c>
      <c r="I78" s="4"/>
      <c r="J78" s="4"/>
      <c r="K78" s="4"/>
      <c r="L78" s="4"/>
      <c r="M78" s="4"/>
      <c r="N78" s="4"/>
      <c r="O78" s="4"/>
      <c r="P78" s="4"/>
      <c r="Q78" s="4"/>
      <c r="R78" s="4"/>
      <c r="S78" s="4"/>
      <c r="T78" s="905">
        <f>COUNT(AB79:AD81)</f>
        <v>0</v>
      </c>
      <c r="U78" s="905"/>
      <c r="V78" s="4"/>
      <c r="W78" s="4"/>
      <c r="X78" s="4"/>
      <c r="Y78" s="1085" t="s">
        <v>372</v>
      </c>
      <c r="Z78" s="1085"/>
      <c r="AA78" s="1085"/>
      <c r="AB78" s="1085" t="s">
        <v>622</v>
      </c>
      <c r="AC78" s="1085"/>
      <c r="AD78" s="1085"/>
      <c r="AE78" s="4"/>
      <c r="AF78" s="110"/>
      <c r="AG78" s="1"/>
      <c r="AH78" s="1"/>
      <c r="DP78" s="10"/>
      <c r="DQ78" s="10"/>
    </row>
    <row r="79" spans="1:121">
      <c r="A79" s="109"/>
      <c r="B79" s="4"/>
      <c r="C79" s="1085">
        <v>2</v>
      </c>
      <c r="D79" s="1085"/>
      <c r="E79" s="1086">
        <v>1.41</v>
      </c>
      <c r="F79" s="1086"/>
      <c r="G79" s="4"/>
      <c r="H79" s="4"/>
      <c r="I79" s="4"/>
      <c r="J79" s="4"/>
      <c r="K79" s="4"/>
      <c r="L79" s="4"/>
      <c r="M79" s="4"/>
      <c r="N79" s="4"/>
      <c r="O79" s="4"/>
      <c r="P79" s="4"/>
      <c r="Q79" s="4"/>
      <c r="R79" s="4"/>
      <c r="S79" s="4"/>
      <c r="T79" s="4"/>
      <c r="U79" s="4"/>
      <c r="V79" s="4"/>
      <c r="W79" s="4"/>
      <c r="X79" s="4"/>
      <c r="Y79" s="1085" t="s">
        <v>437</v>
      </c>
      <c r="Z79" s="1085"/>
      <c r="AA79" s="1085"/>
      <c r="AB79" s="1100" t="str">
        <f>IF(C62&lt;&gt;"",AVERAGE(C62:L62),"")</f>
        <v/>
      </c>
      <c r="AC79" s="1100"/>
      <c r="AD79" s="1100"/>
      <c r="AE79" s="4"/>
      <c r="AF79" s="110"/>
      <c r="AG79" s="1"/>
      <c r="AH79" s="1"/>
      <c r="DP79" s="10"/>
      <c r="DQ79" s="10"/>
    </row>
    <row r="80" spans="1:121">
      <c r="A80" s="109"/>
      <c r="B80" s="4"/>
      <c r="C80" s="1085">
        <v>3</v>
      </c>
      <c r="D80" s="1085"/>
      <c r="E80" s="1086">
        <v>1.9059999999999999</v>
      </c>
      <c r="F80" s="1086"/>
      <c r="G80" s="4"/>
      <c r="H80" s="4" t="s">
        <v>623</v>
      </c>
      <c r="I80" s="4"/>
      <c r="J80" s="4"/>
      <c r="K80" s="4"/>
      <c r="L80" s="4"/>
      <c r="M80" s="4"/>
      <c r="N80" s="4"/>
      <c r="O80" s="4"/>
      <c r="P80" s="905"/>
      <c r="Q80" s="905"/>
      <c r="R80" s="4"/>
      <c r="S80" s="4"/>
      <c r="T80" s="905">
        <f>COUNT(C56:L56)</f>
        <v>0</v>
      </c>
      <c r="U80" s="905"/>
      <c r="V80" s="4"/>
      <c r="W80" s="4"/>
      <c r="X80" s="4"/>
      <c r="Y80" s="1085" t="s">
        <v>388</v>
      </c>
      <c r="Z80" s="1085"/>
      <c r="AA80" s="1085"/>
      <c r="AB80" s="1100" t="str">
        <f>IF(M62&lt;&gt;"",AVERAGE(M62:V62),"")</f>
        <v/>
      </c>
      <c r="AC80" s="1100"/>
      <c r="AD80" s="1100"/>
      <c r="AE80" s="4"/>
      <c r="AF80" s="110"/>
      <c r="AG80" s="1"/>
      <c r="AH80" s="1"/>
      <c r="DP80" s="10"/>
      <c r="DQ80" s="10"/>
    </row>
    <row r="81" spans="1:121">
      <c r="A81" s="109"/>
      <c r="B81" s="4"/>
      <c r="C81" s="4"/>
      <c r="D81" s="4"/>
      <c r="E81" s="4"/>
      <c r="F81" s="4"/>
      <c r="G81" s="4"/>
      <c r="H81" s="4"/>
      <c r="I81" s="4"/>
      <c r="J81" s="4"/>
      <c r="K81" s="4"/>
      <c r="L81" s="4"/>
      <c r="M81" s="4"/>
      <c r="N81" s="4"/>
      <c r="O81" s="4"/>
      <c r="P81" s="4"/>
      <c r="Q81" s="4"/>
      <c r="R81" s="4"/>
      <c r="S81" s="4"/>
      <c r="T81" s="4"/>
      <c r="U81" s="4"/>
      <c r="V81" s="4"/>
      <c r="W81" s="4"/>
      <c r="X81" s="4"/>
      <c r="Y81" s="1085" t="s">
        <v>30</v>
      </c>
      <c r="Z81" s="1085"/>
      <c r="AA81" s="1085"/>
      <c r="AB81" s="1100" t="str">
        <f>IF(W62="","",AVERAGE(W62:AF62))</f>
        <v/>
      </c>
      <c r="AC81" s="1100"/>
      <c r="AD81" s="1100"/>
      <c r="AE81" s="4"/>
      <c r="AF81" s="110"/>
      <c r="AG81" s="1"/>
      <c r="AH81" s="1"/>
      <c r="DP81" s="10"/>
      <c r="DQ81" s="10"/>
    </row>
    <row r="82" spans="1:121" ht="15.75">
      <c r="A82" s="109"/>
      <c r="B82" s="4"/>
      <c r="C82" s="4"/>
      <c r="D82" s="4"/>
      <c r="E82" s="4"/>
      <c r="F82" s="4"/>
      <c r="G82" s="4"/>
      <c r="H82" s="4" t="s">
        <v>726</v>
      </c>
      <c r="I82" s="4"/>
      <c r="J82" s="4"/>
      <c r="K82" s="4"/>
      <c r="L82" s="4"/>
      <c r="M82" s="4"/>
      <c r="N82" s="4"/>
      <c r="O82" s="4"/>
      <c r="P82" s="4"/>
      <c r="Q82" s="4"/>
      <c r="R82" s="4"/>
      <c r="S82" s="4"/>
      <c r="T82" s="1058">
        <f>MAX(AB79:AD81)-MIN(AB79:AD81)</f>
        <v>0</v>
      </c>
      <c r="U82" s="905"/>
      <c r="V82" s="4"/>
      <c r="W82" s="4"/>
      <c r="X82" s="4"/>
      <c r="Y82" s="4"/>
      <c r="Z82" s="4"/>
      <c r="AA82" s="4"/>
      <c r="AB82" s="4"/>
      <c r="AC82" s="4"/>
      <c r="AD82" s="4"/>
      <c r="AE82" s="4"/>
      <c r="AF82" s="110"/>
    </row>
    <row r="83" spans="1:121">
      <c r="A83" s="109"/>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110"/>
    </row>
    <row r="84" spans="1:121" ht="15.75">
      <c r="A84" s="109"/>
      <c r="B84" s="4"/>
      <c r="C84" s="4"/>
      <c r="D84" s="4"/>
      <c r="E84" s="4"/>
      <c r="F84" s="4"/>
      <c r="G84" s="4"/>
      <c r="H84" s="4" t="s">
        <v>727</v>
      </c>
      <c r="I84" s="4"/>
      <c r="J84" s="4"/>
      <c r="K84" s="4"/>
      <c r="L84" s="4"/>
      <c r="M84" s="4"/>
      <c r="N84" s="4"/>
      <c r="O84" s="4"/>
      <c r="P84" s="4"/>
      <c r="Q84" s="4"/>
      <c r="R84" s="4"/>
      <c r="S84" s="4"/>
      <c r="T84" s="1100" t="str">
        <f>IF(T78&lt;&gt;0,T82/VLOOKUP(T78,C79:F80,3),"")</f>
        <v/>
      </c>
      <c r="U84" s="1100"/>
      <c r="V84" s="4"/>
      <c r="W84" s="4"/>
      <c r="X84" s="4"/>
      <c r="Y84" s="4"/>
      <c r="Z84" s="4"/>
      <c r="AA84" s="4"/>
      <c r="AB84" s="4"/>
      <c r="AC84" s="4"/>
      <c r="AD84" s="4"/>
      <c r="AE84" s="4"/>
      <c r="AF84" s="110"/>
    </row>
    <row r="85" spans="1:121">
      <c r="A85" s="109"/>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110"/>
    </row>
    <row r="86" spans="1:121">
      <c r="A86" s="109"/>
      <c r="B86" s="4" t="s">
        <v>624</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110"/>
    </row>
    <row r="87" spans="1:121">
      <c r="A87" s="109"/>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110"/>
    </row>
    <row r="88" spans="1:121" ht="15.75">
      <c r="A88" s="109"/>
      <c r="B88" s="4"/>
      <c r="C88" s="4"/>
      <c r="D88" s="4"/>
      <c r="E88" s="4"/>
      <c r="F88" s="4"/>
      <c r="G88" s="4"/>
      <c r="H88" s="469" t="s">
        <v>728</v>
      </c>
      <c r="I88" s="413" t="s">
        <v>389</v>
      </c>
      <c r="J88" s="4" t="s">
        <v>729</v>
      </c>
      <c r="K88" s="4"/>
      <c r="L88" s="4"/>
      <c r="M88" s="4"/>
      <c r="N88" s="4"/>
      <c r="O88" s="4"/>
      <c r="P88" s="4"/>
      <c r="Q88" s="4"/>
      <c r="R88" s="4"/>
      <c r="S88" s="4"/>
      <c r="T88" s="1093" t="str">
        <f>IF(T74&lt;&gt;"",SQRT(T74*T74+T84*T84),"")</f>
        <v/>
      </c>
      <c r="U88" s="1045"/>
      <c r="V88" s="4"/>
      <c r="W88" s="4"/>
      <c r="X88" s="4"/>
      <c r="Y88" s="4"/>
      <c r="Z88" s="4"/>
      <c r="AA88" s="4"/>
      <c r="AB88" s="4"/>
      <c r="AC88" s="4"/>
      <c r="AD88" s="4"/>
      <c r="AE88" s="4"/>
      <c r="AF88" s="110"/>
    </row>
    <row r="89" spans="1:121">
      <c r="A89" s="109"/>
      <c r="B89" s="4"/>
      <c r="C89" s="4"/>
      <c r="D89" s="4"/>
      <c r="E89" s="4"/>
      <c r="F89" s="4"/>
      <c r="G89" s="4"/>
      <c r="H89" s="4"/>
      <c r="I89" s="470"/>
      <c r="J89" s="4"/>
      <c r="K89" s="4"/>
      <c r="L89" s="4"/>
      <c r="M89" s="4"/>
      <c r="N89" s="4"/>
      <c r="O89" s="4"/>
      <c r="P89" s="4"/>
      <c r="Q89" s="4"/>
      <c r="R89" s="4"/>
      <c r="S89" s="4"/>
      <c r="T89" s="4"/>
      <c r="U89" s="4"/>
      <c r="V89" s="4"/>
      <c r="W89" s="4"/>
      <c r="X89" s="4"/>
      <c r="Y89" s="4"/>
      <c r="Z89" s="4"/>
      <c r="AA89" s="4"/>
      <c r="AB89" s="4"/>
      <c r="AC89" s="4"/>
      <c r="AD89" s="4"/>
      <c r="AE89" s="4"/>
      <c r="AF89" s="110"/>
    </row>
    <row r="90" spans="1:121">
      <c r="A90" s="109"/>
      <c r="B90" s="4" t="s">
        <v>625</v>
      </c>
      <c r="C90" s="4"/>
      <c r="D90" s="4"/>
      <c r="E90" s="4"/>
      <c r="F90" s="4"/>
      <c r="G90" s="4"/>
      <c r="H90" s="4"/>
      <c r="I90" s="413"/>
      <c r="J90" s="4"/>
      <c r="K90" s="4"/>
      <c r="L90" s="4"/>
      <c r="M90" s="4"/>
      <c r="N90" s="4"/>
      <c r="O90" s="4"/>
      <c r="P90" s="4"/>
      <c r="Q90" s="4"/>
      <c r="R90" s="4"/>
      <c r="S90" s="4"/>
      <c r="T90" s="4"/>
      <c r="U90" s="4"/>
      <c r="V90" s="4"/>
      <c r="W90" s="4"/>
      <c r="X90" s="4"/>
      <c r="Y90" s="905" t="s">
        <v>626</v>
      </c>
      <c r="Z90" s="905"/>
      <c r="AA90" s="905"/>
      <c r="AB90" s="905"/>
      <c r="AC90" s="905"/>
      <c r="AD90" s="905"/>
      <c r="AE90" s="4"/>
      <c r="AF90" s="110"/>
    </row>
    <row r="91" spans="1:121">
      <c r="A91" s="109"/>
      <c r="B91" s="4"/>
      <c r="C91" s="4"/>
      <c r="D91" s="4"/>
      <c r="E91" s="4"/>
      <c r="F91" s="4"/>
      <c r="G91" s="4"/>
      <c r="H91" s="4"/>
      <c r="I91" s="413"/>
      <c r="J91" s="4"/>
      <c r="K91" s="4"/>
      <c r="L91" s="4"/>
      <c r="M91" s="4"/>
      <c r="N91" s="4"/>
      <c r="O91" s="4"/>
      <c r="P91" s="4"/>
      <c r="Q91" s="4"/>
      <c r="R91" s="4"/>
      <c r="S91" s="4"/>
      <c r="T91" s="4"/>
      <c r="U91" s="4"/>
      <c r="V91" s="4"/>
      <c r="W91" s="4"/>
      <c r="X91" s="4"/>
      <c r="Y91" s="4"/>
      <c r="Z91" s="4"/>
      <c r="AA91" s="4"/>
      <c r="AB91" s="4"/>
      <c r="AC91" s="4"/>
      <c r="AD91" s="4"/>
      <c r="AE91" s="4"/>
      <c r="AF91" s="110"/>
    </row>
    <row r="92" spans="1:121" ht="15.75">
      <c r="A92" s="109"/>
      <c r="B92" s="4"/>
      <c r="C92" s="1039" t="s">
        <v>723</v>
      </c>
      <c r="D92" s="1039"/>
      <c r="E92" s="1039" t="s">
        <v>724</v>
      </c>
      <c r="F92" s="1039"/>
      <c r="G92" s="4"/>
      <c r="H92" s="4" t="s">
        <v>730</v>
      </c>
      <c r="I92" s="413"/>
      <c r="J92" s="4"/>
      <c r="K92" s="4"/>
      <c r="L92" s="4"/>
      <c r="M92" s="4"/>
      <c r="N92" s="4"/>
      <c r="O92" s="4"/>
      <c r="P92" s="4"/>
      <c r="Q92" s="4"/>
      <c r="R92" s="4"/>
      <c r="S92" s="4"/>
      <c r="T92" s="1058">
        <f>MAX(AB93:AD102)-MIN(AB93:AD102)</f>
        <v>0</v>
      </c>
      <c r="U92" s="905"/>
      <c r="V92" s="4"/>
      <c r="W92" s="4"/>
      <c r="X92" s="4"/>
      <c r="Y92" s="1085" t="s">
        <v>627</v>
      </c>
      <c r="Z92" s="1085"/>
      <c r="AA92" s="1085"/>
      <c r="AB92" s="1085" t="s">
        <v>622</v>
      </c>
      <c r="AC92" s="1085"/>
      <c r="AD92" s="1085"/>
      <c r="AE92" s="4"/>
      <c r="AF92" s="110"/>
      <c r="AL92" s="1"/>
      <c r="AM92" s="1"/>
      <c r="AN92" s="1"/>
      <c r="AO92" s="1"/>
      <c r="AP92" s="1"/>
    </row>
    <row r="93" spans="1:121">
      <c r="A93" s="109"/>
      <c r="B93" s="4"/>
      <c r="C93" s="1085">
        <v>2</v>
      </c>
      <c r="D93" s="1085"/>
      <c r="E93" s="1086">
        <v>1.41</v>
      </c>
      <c r="F93" s="1086"/>
      <c r="G93" s="4"/>
      <c r="H93" s="4"/>
      <c r="I93" s="4"/>
      <c r="J93" s="4"/>
      <c r="K93" s="4"/>
      <c r="L93" s="4"/>
      <c r="M93" s="4"/>
      <c r="N93" s="4"/>
      <c r="O93" s="4"/>
      <c r="P93" s="4"/>
      <c r="Q93" s="4"/>
      <c r="R93" s="4"/>
      <c r="S93" s="4"/>
      <c r="T93" s="4"/>
      <c r="U93" s="4"/>
      <c r="V93" s="4"/>
      <c r="W93" s="4"/>
      <c r="X93" s="4"/>
      <c r="Y93" s="1085">
        <v>1</v>
      </c>
      <c r="Z93" s="1085"/>
      <c r="AA93" s="1085"/>
      <c r="AB93" s="1100" t="str">
        <f>IF(C62="","",(C62+M62+W62)/COUNT(C62,M62,W62))</f>
        <v/>
      </c>
      <c r="AC93" s="1100"/>
      <c r="AD93" s="1100"/>
      <c r="AE93" s="4"/>
      <c r="AF93" s="110"/>
      <c r="AL93" s="1"/>
      <c r="AM93" s="1"/>
      <c r="AN93" s="1"/>
      <c r="AO93" s="1"/>
      <c r="AP93" s="1"/>
    </row>
    <row r="94" spans="1:121">
      <c r="A94" s="109"/>
      <c r="B94" s="4"/>
      <c r="C94" s="1085">
        <v>3</v>
      </c>
      <c r="D94" s="1085"/>
      <c r="E94" s="1086">
        <v>1.9059999999999999</v>
      </c>
      <c r="F94" s="1086"/>
      <c r="G94" s="4"/>
      <c r="H94" s="4" t="s">
        <v>628</v>
      </c>
      <c r="I94" s="4"/>
      <c r="J94" s="4"/>
      <c r="K94" s="4"/>
      <c r="L94" s="4"/>
      <c r="M94" s="4"/>
      <c r="N94" s="4"/>
      <c r="O94" s="4"/>
      <c r="P94" s="4"/>
      <c r="Q94" s="4"/>
      <c r="R94" s="4"/>
      <c r="S94" s="4"/>
      <c r="T94" s="4"/>
      <c r="U94" s="4"/>
      <c r="V94" s="4"/>
      <c r="W94" s="4"/>
      <c r="X94" s="4"/>
      <c r="Y94" s="1085">
        <v>2</v>
      </c>
      <c r="Z94" s="1085"/>
      <c r="AA94" s="1085"/>
      <c r="AB94" s="1100" t="str">
        <f>IF(D62="","",(D62+N62+X62)/COUNT(D62,N62,X62))</f>
        <v/>
      </c>
      <c r="AC94" s="1100"/>
      <c r="AD94" s="1100"/>
      <c r="AE94" s="4"/>
      <c r="AF94" s="110"/>
      <c r="AL94" s="1"/>
      <c r="AM94" s="1"/>
      <c r="AN94" s="1"/>
      <c r="AO94" s="1"/>
      <c r="AP94" s="1"/>
    </row>
    <row r="95" spans="1:121">
      <c r="A95" s="109"/>
      <c r="B95" s="4"/>
      <c r="C95" s="1085">
        <v>4</v>
      </c>
      <c r="D95" s="1085"/>
      <c r="E95" s="1086">
        <v>2.2370000000000001</v>
      </c>
      <c r="F95" s="1086"/>
      <c r="G95" s="4"/>
      <c r="H95" s="4"/>
      <c r="I95" s="4"/>
      <c r="J95" s="4"/>
      <c r="K95" s="4"/>
      <c r="L95" s="4"/>
      <c r="M95" s="4"/>
      <c r="N95" s="4"/>
      <c r="O95" s="4"/>
      <c r="P95" s="4"/>
      <c r="Q95" s="4"/>
      <c r="R95" s="4"/>
      <c r="S95" s="4"/>
      <c r="T95" s="4"/>
      <c r="U95" s="4"/>
      <c r="V95" s="4"/>
      <c r="W95" s="4"/>
      <c r="X95" s="4"/>
      <c r="Y95" s="1085">
        <v>3</v>
      </c>
      <c r="Z95" s="1085"/>
      <c r="AA95" s="1085"/>
      <c r="AB95" s="1100" t="str">
        <f>IF(E62="","",(E62+O62+Y62)/COUNT(E62,O62,Y62))</f>
        <v/>
      </c>
      <c r="AC95" s="1100"/>
      <c r="AD95" s="1100"/>
      <c r="AE95" s="4"/>
      <c r="AF95" s="110"/>
      <c r="AL95" s="1"/>
      <c r="AM95" s="1"/>
      <c r="AN95" s="1"/>
      <c r="AO95" s="1"/>
      <c r="AP95" s="1"/>
    </row>
    <row r="96" spans="1:121" ht="15.75">
      <c r="A96" s="109"/>
      <c r="B96" s="4"/>
      <c r="C96" s="1085">
        <v>5</v>
      </c>
      <c r="D96" s="1085"/>
      <c r="E96" s="1086">
        <v>2.4769999999999999</v>
      </c>
      <c r="F96" s="1086"/>
      <c r="G96" s="4"/>
      <c r="H96" s="4"/>
      <c r="I96" s="4"/>
      <c r="J96" s="4"/>
      <c r="K96" s="4"/>
      <c r="L96" s="4"/>
      <c r="M96" s="4"/>
      <c r="N96" s="4"/>
      <c r="O96" s="469" t="s">
        <v>731</v>
      </c>
      <c r="P96" s="284" t="s">
        <v>389</v>
      </c>
      <c r="Q96" s="118" t="s">
        <v>732</v>
      </c>
      <c r="R96" s="4"/>
      <c r="S96" s="4"/>
      <c r="T96" s="1100" t="str">
        <f>IF(T80&lt;&gt;0,T92/VLOOKUP(T80,C93:F101,3),"")</f>
        <v/>
      </c>
      <c r="U96" s="1100"/>
      <c r="V96" s="4"/>
      <c r="W96" s="4"/>
      <c r="X96" s="4"/>
      <c r="Y96" s="1085">
        <v>4</v>
      </c>
      <c r="Z96" s="1085"/>
      <c r="AA96" s="1085"/>
      <c r="AB96" s="1100" t="str">
        <f>IF(F62="","",(F62+P62+Z62)/COUNT(F62,P62,Z62))</f>
        <v/>
      </c>
      <c r="AC96" s="1100"/>
      <c r="AD96" s="1100"/>
      <c r="AE96" s="4"/>
      <c r="AF96" s="110"/>
    </row>
    <row r="97" spans="1:32">
      <c r="A97" s="109"/>
      <c r="B97" s="4"/>
      <c r="C97" s="1085">
        <v>6</v>
      </c>
      <c r="D97" s="1085"/>
      <c r="E97" s="1086">
        <v>2.669</v>
      </c>
      <c r="F97" s="1086"/>
      <c r="G97" s="4"/>
      <c r="H97" s="4"/>
      <c r="I97" s="4"/>
      <c r="J97" s="4"/>
      <c r="K97" s="4"/>
      <c r="L97" s="4"/>
      <c r="M97" s="4"/>
      <c r="N97" s="4"/>
      <c r="O97" s="4"/>
      <c r="P97" s="4"/>
      <c r="Q97" s="4"/>
      <c r="R97" s="4"/>
      <c r="S97" s="4"/>
      <c r="T97" s="4"/>
      <c r="U97" s="4"/>
      <c r="V97" s="4"/>
      <c r="W97" s="4"/>
      <c r="X97" s="4"/>
      <c r="Y97" s="1085">
        <v>5</v>
      </c>
      <c r="Z97" s="1085"/>
      <c r="AA97" s="1085"/>
      <c r="AB97" s="1100" t="str">
        <f>IF(G62="","",(G62+Q62+AA62)/COUNT(G62,Q62,AA62))</f>
        <v/>
      </c>
      <c r="AC97" s="1100"/>
      <c r="AD97" s="1100"/>
      <c r="AE97" s="4"/>
      <c r="AF97" s="110"/>
    </row>
    <row r="98" spans="1:32">
      <c r="A98" s="109"/>
      <c r="B98" s="4"/>
      <c r="C98" s="1085">
        <v>7</v>
      </c>
      <c r="D98" s="1085"/>
      <c r="E98" s="1086">
        <v>2.827</v>
      </c>
      <c r="F98" s="1086"/>
      <c r="G98" s="4"/>
      <c r="H98" s="4" t="s">
        <v>629</v>
      </c>
      <c r="I98" s="4"/>
      <c r="J98" s="4"/>
      <c r="K98" s="4"/>
      <c r="L98" s="4"/>
      <c r="M98" s="4"/>
      <c r="N98" s="4"/>
      <c r="O98" s="4"/>
      <c r="P98" s="4"/>
      <c r="Q98" s="4"/>
      <c r="R98" s="4"/>
      <c r="S98" s="4"/>
      <c r="T98" s="4"/>
      <c r="U98" s="4"/>
      <c r="V98" s="4"/>
      <c r="W98" s="4"/>
      <c r="X98" s="4"/>
      <c r="Y98" s="1085">
        <v>6</v>
      </c>
      <c r="Z98" s="1085"/>
      <c r="AA98" s="1085"/>
      <c r="AB98" s="1100" t="str">
        <f>IF(H62="","",(H62+R62+AB62)/COUNT(H62,R62,AB62))</f>
        <v/>
      </c>
      <c r="AC98" s="1100"/>
      <c r="AD98" s="1100"/>
      <c r="AE98" s="4"/>
      <c r="AF98" s="110"/>
    </row>
    <row r="99" spans="1:32" ht="15.75">
      <c r="A99" s="109"/>
      <c r="B99" s="4"/>
      <c r="C99" s="1085">
        <v>8</v>
      </c>
      <c r="D99" s="1085"/>
      <c r="E99" s="1086">
        <v>2.9609999999999999</v>
      </c>
      <c r="F99" s="1086"/>
      <c r="G99" s="4"/>
      <c r="H99" s="4"/>
      <c r="I99" s="4"/>
      <c r="J99" s="4"/>
      <c r="K99" s="4"/>
      <c r="L99" s="4"/>
      <c r="M99" s="4"/>
      <c r="N99" s="4"/>
      <c r="O99" s="4"/>
      <c r="P99" s="469" t="s">
        <v>733</v>
      </c>
      <c r="Q99" s="4"/>
      <c r="R99" s="4"/>
      <c r="S99" s="4"/>
      <c r="T99" s="906" t="str">
        <f>IF(T88&lt;&gt;"",T96/T88,"")</f>
        <v/>
      </c>
      <c r="U99" s="906"/>
      <c r="V99" s="4"/>
      <c r="W99" s="4"/>
      <c r="X99" s="4"/>
      <c r="Y99" s="1085">
        <v>7</v>
      </c>
      <c r="Z99" s="1085"/>
      <c r="AA99" s="1085"/>
      <c r="AB99" s="1100" t="str">
        <f>IF(I62="","",(I62+S62+AC62)/COUNT(I62,S62,AC62))</f>
        <v/>
      </c>
      <c r="AC99" s="1100"/>
      <c r="AD99" s="1100"/>
      <c r="AE99" s="4"/>
      <c r="AF99" s="110"/>
    </row>
    <row r="100" spans="1:32">
      <c r="A100" s="109"/>
      <c r="B100" s="4"/>
      <c r="C100" s="1085">
        <v>9</v>
      </c>
      <c r="D100" s="1085"/>
      <c r="E100" s="1086">
        <v>3.0760000000000001</v>
      </c>
      <c r="F100" s="1086"/>
      <c r="G100" s="4"/>
      <c r="H100" s="4"/>
      <c r="I100" s="4"/>
      <c r="J100" s="4"/>
      <c r="K100" s="4"/>
      <c r="L100" s="4"/>
      <c r="M100" s="4"/>
      <c r="N100" s="4"/>
      <c r="O100" s="4"/>
      <c r="P100" s="4"/>
      <c r="Q100" s="4"/>
      <c r="R100" s="4"/>
      <c r="S100" s="4"/>
      <c r="T100" s="4"/>
      <c r="U100" s="4"/>
      <c r="V100" s="4"/>
      <c r="W100" s="4"/>
      <c r="X100" s="4"/>
      <c r="Y100" s="1085">
        <v>8</v>
      </c>
      <c r="Z100" s="1085"/>
      <c r="AA100" s="1085"/>
      <c r="AB100" s="1100" t="str">
        <f>IF(J62="","",(J62+T62+AD62)/COUNT(J62,T62,AD62))</f>
        <v/>
      </c>
      <c r="AC100" s="1100"/>
      <c r="AD100" s="1100"/>
      <c r="AE100" s="4"/>
      <c r="AF100" s="110"/>
    </row>
    <row r="101" spans="1:32">
      <c r="A101" s="109"/>
      <c r="B101" s="4"/>
      <c r="C101" s="1085">
        <v>10</v>
      </c>
      <c r="D101" s="1085"/>
      <c r="E101" s="1086">
        <v>3.1779999999999999</v>
      </c>
      <c r="F101" s="1086"/>
      <c r="G101" s="4"/>
      <c r="H101" s="4"/>
      <c r="I101" s="4"/>
      <c r="J101" s="4"/>
      <c r="K101" s="4"/>
      <c r="L101" s="4"/>
      <c r="M101" s="4"/>
      <c r="N101" s="4"/>
      <c r="O101" s="4"/>
      <c r="P101" s="4"/>
      <c r="Q101" s="4"/>
      <c r="R101" s="4"/>
      <c r="S101" s="4"/>
      <c r="T101" s="4"/>
      <c r="U101" s="4"/>
      <c r="V101" s="4"/>
      <c r="W101" s="4"/>
      <c r="X101" s="4"/>
      <c r="Y101" s="1085">
        <v>9</v>
      </c>
      <c r="Z101" s="1085"/>
      <c r="AA101" s="1085"/>
      <c r="AB101" s="1100" t="str">
        <f>IF(K62="","",(K62+U62+AE62)/COUNT(K62,U62,AE62))</f>
        <v/>
      </c>
      <c r="AC101" s="1100"/>
      <c r="AD101" s="1100"/>
      <c r="AE101" s="4"/>
      <c r="AF101" s="110"/>
    </row>
    <row r="102" spans="1:32">
      <c r="A102" s="109"/>
      <c r="B102" s="4"/>
      <c r="C102" s="4"/>
      <c r="D102" s="4"/>
      <c r="E102" s="4"/>
      <c r="F102" s="4"/>
      <c r="G102" s="4"/>
      <c r="H102" s="4"/>
      <c r="I102" s="4"/>
      <c r="J102" s="4"/>
      <c r="K102" s="4"/>
      <c r="L102" s="4"/>
      <c r="M102" s="4"/>
      <c r="N102" s="4"/>
      <c r="O102" s="4"/>
      <c r="P102" s="4"/>
      <c r="Q102" s="4"/>
      <c r="R102" s="4"/>
      <c r="S102" s="4"/>
      <c r="T102" s="4"/>
      <c r="U102" s="4"/>
      <c r="V102" s="4"/>
      <c r="W102" s="4"/>
      <c r="X102" s="4"/>
      <c r="Y102" s="1085">
        <v>10</v>
      </c>
      <c r="Z102" s="1085"/>
      <c r="AA102" s="1085"/>
      <c r="AB102" s="1100" t="str">
        <f>IF(L62="","",(L62+V62+AF62)/COUNT(L62,V62,AF62))</f>
        <v/>
      </c>
      <c r="AC102" s="1100"/>
      <c r="AD102" s="1100"/>
      <c r="AE102" s="4"/>
      <c r="AF102" s="110"/>
    </row>
    <row r="103" spans="1:32">
      <c r="A103" s="109"/>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110"/>
    </row>
    <row r="104" spans="1:32">
      <c r="A104" s="109"/>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110"/>
    </row>
    <row r="105" spans="1:32">
      <c r="A105" s="109"/>
      <c r="B105" s="4"/>
      <c r="C105" s="4" t="s">
        <v>630</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110"/>
    </row>
    <row r="106" spans="1:32">
      <c r="A106" s="109"/>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110"/>
    </row>
    <row r="107" spans="1:32" ht="15.75">
      <c r="A107" s="109"/>
      <c r="B107" s="4"/>
      <c r="C107" s="4"/>
      <c r="D107" s="4"/>
      <c r="E107" s="4"/>
      <c r="F107" s="4" t="s">
        <v>631</v>
      </c>
      <c r="G107" s="4"/>
      <c r="H107" s="4" t="s">
        <v>734</v>
      </c>
      <c r="I107" s="4"/>
      <c r="J107" s="4"/>
      <c r="K107" s="4"/>
      <c r="L107" s="4"/>
      <c r="M107" s="4"/>
      <c r="N107" s="4"/>
      <c r="O107" s="4"/>
      <c r="P107" s="4"/>
      <c r="Q107" s="4"/>
      <c r="R107" s="4"/>
      <c r="S107" s="4"/>
      <c r="T107" s="1101" t="str">
        <f>IF(T99&lt;&gt;"",TRUNC(T99*1.41),"")</f>
        <v/>
      </c>
      <c r="U107" s="1101"/>
      <c r="V107" s="4"/>
      <c r="W107" s="4"/>
      <c r="X107" s="4"/>
      <c r="Y107" s="4"/>
      <c r="Z107" s="4"/>
      <c r="AA107" s="4"/>
      <c r="AB107" s="4"/>
      <c r="AC107" s="4"/>
      <c r="AD107" s="4"/>
      <c r="AE107" s="4"/>
      <c r="AF107" s="110"/>
    </row>
    <row r="108" spans="1:32">
      <c r="A108" s="109"/>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110"/>
    </row>
    <row r="109" spans="1:32">
      <c r="A109" s="109"/>
      <c r="B109" s="4"/>
      <c r="C109" s="4"/>
      <c r="D109" s="4"/>
      <c r="E109" s="4"/>
      <c r="F109" s="4"/>
      <c r="G109" s="4"/>
      <c r="H109" s="4"/>
      <c r="I109" s="4"/>
      <c r="J109" s="4"/>
      <c r="K109" s="4"/>
      <c r="L109" s="4"/>
      <c r="M109" s="4"/>
      <c r="N109" s="4"/>
      <c r="O109" s="4"/>
      <c r="P109" s="4"/>
      <c r="Q109" s="4"/>
      <c r="R109" s="4"/>
      <c r="S109" s="4"/>
      <c r="T109" s="471" t="str">
        <f>IF(T107&lt;&gt;"",IF(T107&lt;5,"Gage discrimination low","Gage discrimination acceptable"),"")</f>
        <v/>
      </c>
      <c r="U109" s="472"/>
      <c r="V109" s="472"/>
      <c r="W109" s="472"/>
      <c r="X109" s="4"/>
      <c r="Y109" s="4"/>
      <c r="Z109" s="4"/>
      <c r="AA109" s="4"/>
      <c r="AB109" s="4"/>
      <c r="AC109" s="4"/>
      <c r="AD109" s="4"/>
      <c r="AE109" s="4"/>
      <c r="AF109" s="110"/>
    </row>
    <row r="110" spans="1:32">
      <c r="A110" s="109"/>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110"/>
    </row>
    <row r="111" spans="1:32">
      <c r="A111" s="109"/>
      <c r="B111" s="4"/>
      <c r="C111" s="4" t="s">
        <v>632</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110"/>
    </row>
    <row r="112" spans="1:32">
      <c r="A112" s="109"/>
      <c r="B112" s="4"/>
      <c r="C112" s="4" t="s">
        <v>633</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110"/>
    </row>
    <row r="113" spans="1:32">
      <c r="A113" s="109"/>
      <c r="B113" s="4"/>
      <c r="C113" s="4" t="s">
        <v>634</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110"/>
    </row>
    <row r="114" spans="1:32">
      <c r="A114" s="109"/>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110"/>
    </row>
    <row r="115" spans="1:32">
      <c r="A115" s="112"/>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4"/>
    </row>
  </sheetData>
  <mergeCells count="97">
    <mergeCell ref="C94:D94"/>
    <mergeCell ref="C96:D96"/>
    <mergeCell ref="Y102:AA102"/>
    <mergeCell ref="T99:U99"/>
    <mergeCell ref="AB99:AD99"/>
    <mergeCell ref="AB100:AD100"/>
    <mergeCell ref="Y100:AA100"/>
    <mergeCell ref="Y101:AA101"/>
    <mergeCell ref="AB95:AD95"/>
    <mergeCell ref="AB101:AD101"/>
    <mergeCell ref="AB94:AD94"/>
    <mergeCell ref="AB96:AD96"/>
    <mergeCell ref="Y97:AA97"/>
    <mergeCell ref="Y96:AA96"/>
    <mergeCell ref="Y94:AA94"/>
    <mergeCell ref="AB102:AD102"/>
    <mergeCell ref="AB97:AD97"/>
    <mergeCell ref="C101:D101"/>
    <mergeCell ref="E101:F101"/>
    <mergeCell ref="E99:F99"/>
    <mergeCell ref="C100:D100"/>
    <mergeCell ref="C99:D99"/>
    <mergeCell ref="E100:F100"/>
    <mergeCell ref="AB98:AD98"/>
    <mergeCell ref="Y98:AA98"/>
    <mergeCell ref="T107:U107"/>
    <mergeCell ref="A1:AF4"/>
    <mergeCell ref="E96:F96"/>
    <mergeCell ref="C98:D98"/>
    <mergeCell ref="C97:D97"/>
    <mergeCell ref="Y81:AA81"/>
    <mergeCell ref="Y92:AA92"/>
    <mergeCell ref="T88:U88"/>
    <mergeCell ref="Y95:AA95"/>
    <mergeCell ref="C95:D95"/>
    <mergeCell ref="C93:D93"/>
    <mergeCell ref="E95:F95"/>
    <mergeCell ref="E98:F98"/>
    <mergeCell ref="C92:D92"/>
    <mergeCell ref="T96:U96"/>
    <mergeCell ref="Y99:AA99"/>
    <mergeCell ref="E93:F93"/>
    <mergeCell ref="E97:F97"/>
    <mergeCell ref="Y93:AA93"/>
    <mergeCell ref="E92:F92"/>
    <mergeCell ref="T84:U84"/>
    <mergeCell ref="T92:U92"/>
    <mergeCell ref="E94:F94"/>
    <mergeCell ref="AB93:AD93"/>
    <mergeCell ref="AB80:AD80"/>
    <mergeCell ref="T80:U80"/>
    <mergeCell ref="T82:U82"/>
    <mergeCell ref="AB92:AD92"/>
    <mergeCell ref="AB81:AD81"/>
    <mergeCell ref="Y80:AA80"/>
    <mergeCell ref="Y90:AD90"/>
    <mergeCell ref="AB73:AC73"/>
    <mergeCell ref="Z73:AA73"/>
    <mergeCell ref="T72:U72"/>
    <mergeCell ref="Y78:AA78"/>
    <mergeCell ref="Y76:AD76"/>
    <mergeCell ref="AB74:AC74"/>
    <mergeCell ref="AB78:AD78"/>
    <mergeCell ref="Z72:AA72"/>
    <mergeCell ref="Z74:AA74"/>
    <mergeCell ref="T70:U70"/>
    <mergeCell ref="Z70:AA70"/>
    <mergeCell ref="AB71:AC71"/>
    <mergeCell ref="Z71:AA71"/>
    <mergeCell ref="AB72:AC72"/>
    <mergeCell ref="A5:S5"/>
    <mergeCell ref="A6:S6"/>
    <mergeCell ref="A55:B55"/>
    <mergeCell ref="C54:L54"/>
    <mergeCell ref="C12:D12"/>
    <mergeCell ref="H12:I12"/>
    <mergeCell ref="A8:E8"/>
    <mergeCell ref="T6:X6"/>
    <mergeCell ref="M12:N12"/>
    <mergeCell ref="M33:N33"/>
    <mergeCell ref="C33:D33"/>
    <mergeCell ref="C78:D78"/>
    <mergeCell ref="E78:F78"/>
    <mergeCell ref="H33:I33"/>
    <mergeCell ref="Y79:AA79"/>
    <mergeCell ref="C80:D80"/>
    <mergeCell ref="C79:D79"/>
    <mergeCell ref="E79:F79"/>
    <mergeCell ref="M54:V54"/>
    <mergeCell ref="T78:U78"/>
    <mergeCell ref="E80:F80"/>
    <mergeCell ref="P80:Q80"/>
    <mergeCell ref="W54:AF54"/>
    <mergeCell ref="B68:AF68"/>
    <mergeCell ref="T74:U74"/>
    <mergeCell ref="AB79:AD79"/>
    <mergeCell ref="AB70:AC70"/>
  </mergeCells>
  <phoneticPr fontId="26" type="noConversion"/>
  <printOptions horizontalCentered="1" verticalCentered="1"/>
  <pageMargins left="0.25" right="0.25" top="0.41" bottom="0.8125" header="0.17" footer="0.16"/>
  <pageSetup scale="86" fitToHeight="3" orientation="portrait" r:id="rId1"/>
  <headerFooter alignWithMargins="0">
    <oddFooter xml:space="preserve">&amp;L&amp;6&amp;Z&amp;F&amp;CQAI_6012 AAR Mobility PPAP Workbook
</oddFooter>
  </headerFooter>
  <rowBreaks count="1" manualBreakCount="1">
    <brk id="65" max="31"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3"/>
    <pageSetUpPr fitToPage="1"/>
  </sheetPr>
  <dimension ref="A1:CS58"/>
  <sheetViews>
    <sheetView zoomScaleNormal="100" workbookViewId="0">
      <selection activeCell="O21" sqref="O21"/>
    </sheetView>
  </sheetViews>
  <sheetFormatPr defaultColWidth="9.140625" defaultRowHeight="12.75"/>
  <cols>
    <col min="1" max="1" width="2.28515625" style="1" customWidth="1"/>
    <col min="2" max="2" width="6.28515625" style="1" customWidth="1"/>
    <col min="3" max="32" width="3.7109375" style="1" customWidth="1"/>
    <col min="33" max="33" width="9.140625" style="10"/>
    <col min="34" max="34" width="11.28515625" style="10" customWidth="1"/>
    <col min="35" max="44" width="6.42578125" style="10" customWidth="1"/>
    <col min="45" max="97" width="9.140625" style="10"/>
    <col min="98" max="16384" width="9.140625" style="1"/>
  </cols>
  <sheetData>
    <row r="1" spans="1:97">
      <c r="A1" s="1075" t="s">
        <v>635</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6"/>
      <c r="AA1" s="1077"/>
    </row>
    <row r="2" spans="1:97">
      <c r="A2" s="1078"/>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80"/>
    </row>
    <row r="3" spans="1:97">
      <c r="A3" s="1078"/>
      <c r="B3" s="1079"/>
      <c r="C3" s="1079"/>
      <c r="D3" s="1079"/>
      <c r="E3" s="1079"/>
      <c r="F3" s="1079"/>
      <c r="G3" s="1079"/>
      <c r="H3" s="1079"/>
      <c r="I3" s="1079"/>
      <c r="J3" s="1079"/>
      <c r="K3" s="1079"/>
      <c r="L3" s="1079"/>
      <c r="M3" s="1079"/>
      <c r="N3" s="1079"/>
      <c r="O3" s="1079"/>
      <c r="P3" s="1079"/>
      <c r="Q3" s="1079"/>
      <c r="R3" s="1079"/>
      <c r="S3" s="1079"/>
      <c r="T3" s="1079"/>
      <c r="U3" s="1079"/>
      <c r="V3" s="1079"/>
      <c r="W3" s="1079"/>
      <c r="X3" s="1079"/>
      <c r="Y3" s="1079"/>
      <c r="Z3" s="1079"/>
      <c r="AA3" s="1080"/>
    </row>
    <row r="4" spans="1:97" ht="25.5" customHeight="1" thickBot="1">
      <c r="A4" s="1081"/>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3"/>
    </row>
    <row r="5" spans="1:97" s="160" customFormat="1" ht="11.25">
      <c r="A5" s="1094" t="s">
        <v>636</v>
      </c>
      <c r="B5" s="1094"/>
      <c r="C5" s="1094"/>
      <c r="D5" s="1094"/>
      <c r="E5" s="1094"/>
      <c r="F5" s="1094"/>
      <c r="G5" s="1094"/>
      <c r="H5" s="1094"/>
      <c r="I5" s="1094"/>
      <c r="J5" s="1094"/>
      <c r="K5" s="1094"/>
      <c r="L5" s="1094"/>
      <c r="M5" s="1094"/>
      <c r="N5" s="1094"/>
      <c r="O5" s="1094"/>
      <c r="P5" s="1095"/>
      <c r="Q5" s="184" t="s">
        <v>584</v>
      </c>
      <c r="R5" s="12"/>
      <c r="S5" s="12"/>
      <c r="T5" s="12"/>
      <c r="U5" s="12"/>
      <c r="V5" s="12"/>
      <c r="W5" s="12"/>
      <c r="X5" s="445"/>
      <c r="Y5" s="184" t="s">
        <v>585</v>
      </c>
      <c r="Z5" s="12"/>
      <c r="AA5" s="445"/>
    </row>
    <row r="6" spans="1:97">
      <c r="A6" s="1096" t="s">
        <v>586</v>
      </c>
      <c r="B6" s="1096"/>
      <c r="C6" s="1096"/>
      <c r="D6" s="1096"/>
      <c r="E6" s="1096"/>
      <c r="F6" s="1096"/>
      <c r="G6" s="1096"/>
      <c r="H6" s="1096"/>
      <c r="I6" s="1096"/>
      <c r="J6" s="1096"/>
      <c r="K6" s="1096"/>
      <c r="L6" s="1096"/>
      <c r="M6" s="1096"/>
      <c r="N6" s="1096"/>
      <c r="O6" s="1096"/>
      <c r="P6" s="1097"/>
      <c r="Q6" s="837" t="s">
        <v>869</v>
      </c>
      <c r="R6" s="838"/>
      <c r="S6" s="838"/>
      <c r="T6" s="838"/>
      <c r="U6" s="113"/>
      <c r="V6" s="113"/>
      <c r="W6" s="113"/>
      <c r="X6" s="114"/>
      <c r="Y6" s="112"/>
      <c r="Z6" s="113"/>
      <c r="AA6" s="114"/>
      <c r="AB6" s="10"/>
      <c r="AC6" s="10"/>
      <c r="AD6" s="10"/>
      <c r="AE6" s="10"/>
      <c r="AF6" s="10"/>
      <c r="CO6" s="1"/>
      <c r="CP6" s="1"/>
      <c r="CQ6" s="1"/>
      <c r="CR6" s="1"/>
      <c r="CS6" s="1"/>
    </row>
    <row r="7" spans="1:97" s="160" customFormat="1" ht="11.25">
      <c r="A7" s="161" t="s">
        <v>587</v>
      </c>
      <c r="B7" s="162"/>
      <c r="C7" s="162"/>
      <c r="D7" s="162"/>
      <c r="E7" s="162"/>
      <c r="F7" s="162"/>
      <c r="G7" s="162"/>
      <c r="H7" s="162"/>
      <c r="I7" s="162"/>
      <c r="J7" s="163"/>
      <c r="K7" s="161" t="s">
        <v>588</v>
      </c>
      <c r="L7" s="162"/>
      <c r="M7" s="162"/>
      <c r="N7" s="162"/>
      <c r="O7" s="162"/>
      <c r="P7" s="162"/>
      <c r="Q7" s="162"/>
      <c r="R7" s="162"/>
      <c r="S7" s="163"/>
      <c r="T7" s="161" t="s">
        <v>596</v>
      </c>
      <c r="U7" s="162"/>
      <c r="V7" s="162"/>
      <c r="W7" s="162"/>
      <c r="X7" s="162"/>
      <c r="Y7" s="162"/>
      <c r="Z7" s="162"/>
      <c r="AA7" s="163"/>
    </row>
    <row r="8" spans="1:97">
      <c r="A8" s="112" t="s">
        <v>869</v>
      </c>
      <c r="B8" s="113"/>
      <c r="C8" s="113"/>
      <c r="D8" s="113"/>
      <c r="E8" s="113"/>
      <c r="F8" s="113"/>
      <c r="G8" s="113"/>
      <c r="H8" s="113"/>
      <c r="I8" s="113"/>
      <c r="J8" s="114"/>
      <c r="K8" s="112"/>
      <c r="L8" s="113"/>
      <c r="M8" s="113"/>
      <c r="N8" s="113"/>
      <c r="O8" s="113"/>
      <c r="P8" s="113"/>
      <c r="Q8" s="113"/>
      <c r="R8" s="113"/>
      <c r="S8" s="114"/>
      <c r="T8" s="112"/>
      <c r="U8" s="113"/>
      <c r="V8" s="113"/>
      <c r="W8" s="113"/>
      <c r="X8" s="113"/>
      <c r="Y8" s="113"/>
      <c r="Z8" s="113"/>
      <c r="AA8" s="114"/>
      <c r="AB8" s="10"/>
      <c r="AC8" s="10"/>
      <c r="AD8" s="10"/>
      <c r="AE8" s="10"/>
      <c r="AF8" s="10"/>
      <c r="CO8" s="1"/>
      <c r="CP8" s="1"/>
      <c r="CQ8" s="1"/>
      <c r="CR8" s="1"/>
      <c r="CS8" s="1"/>
    </row>
    <row r="9" spans="1:97" s="160" customFormat="1" ht="11.25">
      <c r="A9" s="161" t="s">
        <v>637</v>
      </c>
      <c r="B9" s="162"/>
      <c r="C9" s="162"/>
      <c r="D9" s="162"/>
      <c r="E9" s="161" t="s">
        <v>593</v>
      </c>
      <c r="F9" s="162"/>
      <c r="G9" s="162"/>
      <c r="H9" s="163"/>
      <c r="I9" s="161" t="s">
        <v>594</v>
      </c>
      <c r="J9" s="162"/>
      <c r="K9" s="162"/>
      <c r="L9" s="163"/>
      <c r="M9" s="161" t="s">
        <v>595</v>
      </c>
      <c r="N9" s="162"/>
      <c r="O9" s="162"/>
      <c r="P9" s="162"/>
      <c r="Q9" s="163"/>
      <c r="R9" s="161" t="s">
        <v>638</v>
      </c>
      <c r="S9" s="162"/>
      <c r="T9" s="162"/>
      <c r="U9" s="162"/>
      <c r="V9" s="163"/>
      <c r="W9" s="161" t="s">
        <v>639</v>
      </c>
      <c r="X9" s="162"/>
      <c r="Y9" s="162"/>
      <c r="Z9" s="162"/>
      <c r="AA9" s="163"/>
    </row>
    <row r="10" spans="1:97" s="255" customFormat="1">
      <c r="A10" s="112"/>
      <c r="B10" s="113"/>
      <c r="C10" s="113"/>
      <c r="D10" s="113"/>
      <c r="E10" s="112"/>
      <c r="F10" s="113"/>
      <c r="G10" s="113"/>
      <c r="H10" s="114"/>
      <c r="I10" s="112"/>
      <c r="J10" s="113"/>
      <c r="K10" s="113"/>
      <c r="L10" s="114"/>
      <c r="M10" s="112"/>
      <c r="N10" s="113"/>
      <c r="O10" s="113"/>
      <c r="P10" s="113"/>
      <c r="Q10" s="114"/>
      <c r="R10" s="1033"/>
      <c r="S10" s="1034"/>
      <c r="T10" s="1034"/>
      <c r="U10" s="1034"/>
      <c r="V10" s="1035"/>
      <c r="W10" s="1033"/>
      <c r="X10" s="1034"/>
      <c r="Y10" s="1034"/>
      <c r="Z10" s="1034"/>
      <c r="AA10" s="1035"/>
    </row>
    <row r="11" spans="1:97" ht="6.75" customHeight="1"/>
    <row r="12" spans="1:97">
      <c r="B12" s="449" t="s">
        <v>599</v>
      </c>
    </row>
    <row r="13" spans="1:97">
      <c r="B13" s="446" t="s">
        <v>717</v>
      </c>
      <c r="C13" s="1084" t="str">
        <f>IF(C48&lt;&gt;"",AVERAGE(C48:L48),"")</f>
        <v/>
      </c>
      <c r="D13" s="1084"/>
      <c r="E13" s="447"/>
      <c r="F13" s="448" t="s">
        <v>597</v>
      </c>
      <c r="G13" s="448"/>
      <c r="H13" s="1084" t="str">
        <f>IF(C13&lt;&gt;"",C13+AI21*C33,"")</f>
        <v/>
      </c>
      <c r="I13" s="1084"/>
      <c r="J13" s="447"/>
      <c r="K13" s="448" t="s">
        <v>598</v>
      </c>
      <c r="L13" s="448"/>
      <c r="M13" s="1084" t="str">
        <f>IF(C13&lt;&gt;"",C13-AI21*C33,"")</f>
        <v/>
      </c>
      <c r="N13" s="1092"/>
      <c r="AH13" s="10" t="s">
        <v>600</v>
      </c>
    </row>
    <row r="14" spans="1:97">
      <c r="C14" s="421"/>
      <c r="D14" s="421"/>
      <c r="E14" s="421"/>
      <c r="F14" s="421"/>
      <c r="G14" s="421"/>
      <c r="H14" s="421"/>
      <c r="I14" s="421"/>
      <c r="J14" s="421"/>
      <c r="K14" s="421"/>
      <c r="L14" s="421"/>
      <c r="M14" s="421"/>
      <c r="N14" s="421"/>
    </row>
    <row r="15" spans="1:97">
      <c r="C15" s="421"/>
      <c r="D15" s="421"/>
      <c r="E15" s="421"/>
      <c r="F15" s="421"/>
      <c r="G15" s="421"/>
      <c r="H15" s="421"/>
      <c r="I15" s="421"/>
      <c r="J15" s="421"/>
      <c r="K15" s="421"/>
      <c r="L15" s="421"/>
      <c r="M15" s="421"/>
      <c r="N15" s="421"/>
      <c r="AH15" s="10" t="s">
        <v>601</v>
      </c>
      <c r="AI15" s="306">
        <v>1</v>
      </c>
      <c r="AJ15" s="306">
        <f t="shared" ref="AJ15:AR15" si="0">AI15+1</f>
        <v>2</v>
      </c>
      <c r="AK15" s="306">
        <f t="shared" si="0"/>
        <v>3</v>
      </c>
      <c r="AL15" s="306">
        <f t="shared" si="0"/>
        <v>4</v>
      </c>
      <c r="AM15" s="306">
        <f t="shared" si="0"/>
        <v>5</v>
      </c>
      <c r="AN15" s="306">
        <f t="shared" si="0"/>
        <v>6</v>
      </c>
      <c r="AO15" s="306">
        <f t="shared" si="0"/>
        <v>7</v>
      </c>
      <c r="AP15" s="306">
        <f t="shared" si="0"/>
        <v>8</v>
      </c>
      <c r="AQ15" s="306">
        <f t="shared" si="0"/>
        <v>9</v>
      </c>
      <c r="AR15" s="306">
        <f t="shared" si="0"/>
        <v>10</v>
      </c>
    </row>
    <row r="16" spans="1:97">
      <c r="C16" s="421"/>
      <c r="D16" s="421"/>
      <c r="E16" s="421"/>
      <c r="F16" s="421"/>
      <c r="G16" s="421"/>
      <c r="H16" s="421"/>
      <c r="I16" s="421"/>
      <c r="J16" s="421"/>
      <c r="K16" s="421"/>
      <c r="L16" s="421"/>
      <c r="M16" s="421"/>
      <c r="N16" s="421"/>
      <c r="AH16" s="10" t="s">
        <v>602</v>
      </c>
      <c r="AI16" s="450" t="str">
        <f t="shared" ref="AI16:AR16" si="1">$H$13</f>
        <v/>
      </c>
      <c r="AJ16" s="450" t="str">
        <f t="shared" si="1"/>
        <v/>
      </c>
      <c r="AK16" s="450" t="str">
        <f t="shared" si="1"/>
        <v/>
      </c>
      <c r="AL16" s="450" t="str">
        <f t="shared" si="1"/>
        <v/>
      </c>
      <c r="AM16" s="450" t="str">
        <f t="shared" si="1"/>
        <v/>
      </c>
      <c r="AN16" s="450" t="str">
        <f t="shared" si="1"/>
        <v/>
      </c>
      <c r="AO16" s="450" t="str">
        <f t="shared" si="1"/>
        <v/>
      </c>
      <c r="AP16" s="450" t="str">
        <f t="shared" si="1"/>
        <v/>
      </c>
      <c r="AQ16" s="450" t="str">
        <f t="shared" si="1"/>
        <v/>
      </c>
      <c r="AR16" s="450" t="str">
        <f t="shared" si="1"/>
        <v/>
      </c>
    </row>
    <row r="17" spans="2:44">
      <c r="C17" s="421"/>
      <c r="D17" s="421"/>
      <c r="E17" s="421"/>
      <c r="F17" s="421"/>
      <c r="G17" s="421"/>
      <c r="H17" s="421"/>
      <c r="I17" s="421"/>
      <c r="J17" s="421"/>
      <c r="K17" s="421"/>
      <c r="L17" s="421"/>
      <c r="M17" s="421"/>
      <c r="N17" s="421"/>
      <c r="AH17" s="10" t="s">
        <v>459</v>
      </c>
      <c r="AI17" s="450" t="str">
        <f t="shared" ref="AI17:AR17" si="2">$C$13</f>
        <v/>
      </c>
      <c r="AJ17" s="450" t="str">
        <f t="shared" si="2"/>
        <v/>
      </c>
      <c r="AK17" s="450" t="str">
        <f t="shared" si="2"/>
        <v/>
      </c>
      <c r="AL17" s="450" t="str">
        <f t="shared" si="2"/>
        <v/>
      </c>
      <c r="AM17" s="450" t="str">
        <f t="shared" si="2"/>
        <v/>
      </c>
      <c r="AN17" s="450" t="str">
        <f t="shared" si="2"/>
        <v/>
      </c>
      <c r="AO17" s="450" t="str">
        <f t="shared" si="2"/>
        <v/>
      </c>
      <c r="AP17" s="450" t="str">
        <f t="shared" si="2"/>
        <v/>
      </c>
      <c r="AQ17" s="450" t="str">
        <f t="shared" si="2"/>
        <v/>
      </c>
      <c r="AR17" s="450" t="str">
        <f t="shared" si="2"/>
        <v/>
      </c>
    </row>
    <row r="18" spans="2:44">
      <c r="C18" s="421"/>
      <c r="D18" s="421"/>
      <c r="E18" s="421"/>
      <c r="F18" s="421"/>
      <c r="G18" s="421"/>
      <c r="H18" s="421"/>
      <c r="I18" s="421"/>
      <c r="J18" s="421"/>
      <c r="K18" s="421"/>
      <c r="L18" s="421"/>
      <c r="M18" s="421"/>
      <c r="N18" s="421"/>
      <c r="AH18" s="10" t="s">
        <v>603</v>
      </c>
      <c r="AI18" s="450" t="str">
        <f t="shared" ref="AI18:AR18" si="3">IF(C48&lt;&gt;"",C48,"")</f>
        <v/>
      </c>
      <c r="AJ18" s="450" t="str">
        <f t="shared" si="3"/>
        <v/>
      </c>
      <c r="AK18" s="450" t="str">
        <f t="shared" si="3"/>
        <v/>
      </c>
      <c r="AL18" s="450" t="str">
        <f t="shared" si="3"/>
        <v/>
      </c>
      <c r="AM18" s="450" t="str">
        <f t="shared" si="3"/>
        <v/>
      </c>
      <c r="AN18" s="450" t="str">
        <f t="shared" si="3"/>
        <v/>
      </c>
      <c r="AO18" s="450" t="str">
        <f t="shared" si="3"/>
        <v/>
      </c>
      <c r="AP18" s="450" t="str">
        <f t="shared" si="3"/>
        <v/>
      </c>
      <c r="AQ18" s="450" t="str">
        <f t="shared" si="3"/>
        <v/>
      </c>
      <c r="AR18" s="450" t="str">
        <f t="shared" si="3"/>
        <v/>
      </c>
    </row>
    <row r="19" spans="2:44">
      <c r="C19" s="421"/>
      <c r="D19" s="421"/>
      <c r="E19" s="421"/>
      <c r="F19" s="421"/>
      <c r="G19" s="421"/>
      <c r="H19" s="421"/>
      <c r="I19" s="421"/>
      <c r="J19" s="421"/>
      <c r="K19" s="421"/>
      <c r="L19" s="421"/>
      <c r="M19" s="421"/>
      <c r="N19" s="421"/>
      <c r="AH19" s="10" t="s">
        <v>604</v>
      </c>
      <c r="AI19" s="450" t="str">
        <f>$M$13</f>
        <v/>
      </c>
      <c r="AJ19" s="450" t="str">
        <f t="shared" ref="AJ19:AR19" si="4">AI19</f>
        <v/>
      </c>
      <c r="AK19" s="450" t="str">
        <f t="shared" si="4"/>
        <v/>
      </c>
      <c r="AL19" s="450" t="str">
        <f t="shared" si="4"/>
        <v/>
      </c>
      <c r="AM19" s="450" t="str">
        <f t="shared" si="4"/>
        <v/>
      </c>
      <c r="AN19" s="450" t="str">
        <f t="shared" si="4"/>
        <v/>
      </c>
      <c r="AO19" s="450" t="str">
        <f t="shared" si="4"/>
        <v/>
      </c>
      <c r="AP19" s="450" t="str">
        <f t="shared" si="4"/>
        <v/>
      </c>
      <c r="AQ19" s="450" t="str">
        <f t="shared" si="4"/>
        <v/>
      </c>
      <c r="AR19" s="450" t="str">
        <f t="shared" si="4"/>
        <v/>
      </c>
    </row>
    <row r="20" spans="2:44">
      <c r="C20" s="421"/>
      <c r="D20" s="421"/>
      <c r="E20" s="421"/>
      <c r="F20" s="421"/>
      <c r="G20" s="421"/>
      <c r="H20" s="421"/>
      <c r="I20" s="421"/>
      <c r="J20" s="421"/>
      <c r="K20" s="421"/>
      <c r="L20" s="421"/>
      <c r="M20" s="421"/>
      <c r="N20" s="421"/>
    </row>
    <row r="21" spans="2:44">
      <c r="C21" s="421"/>
      <c r="D21" s="421"/>
      <c r="E21" s="421"/>
      <c r="F21" s="421"/>
      <c r="G21" s="421"/>
      <c r="H21" s="421"/>
      <c r="I21" s="421"/>
      <c r="J21" s="421"/>
      <c r="K21" s="421"/>
      <c r="L21" s="421"/>
      <c r="M21" s="421"/>
      <c r="N21" s="421"/>
      <c r="AH21" s="10" t="s">
        <v>640</v>
      </c>
      <c r="AI21" s="10">
        <v>2.66</v>
      </c>
    </row>
    <row r="22" spans="2:44">
      <c r="C22" s="421"/>
      <c r="D22" s="421"/>
      <c r="E22" s="421"/>
      <c r="F22" s="421"/>
      <c r="G22" s="421"/>
      <c r="H22" s="421"/>
      <c r="I22" s="421"/>
      <c r="J22" s="421"/>
      <c r="K22" s="421"/>
      <c r="L22" s="421"/>
      <c r="M22" s="421"/>
      <c r="N22" s="421"/>
    </row>
    <row r="23" spans="2:44">
      <c r="C23" s="421"/>
      <c r="D23" s="421"/>
      <c r="E23" s="421"/>
      <c r="F23" s="421"/>
      <c r="G23" s="421"/>
      <c r="H23" s="421"/>
      <c r="I23" s="421"/>
      <c r="J23" s="421"/>
      <c r="K23" s="421"/>
      <c r="L23" s="421"/>
      <c r="M23" s="421"/>
      <c r="N23" s="421"/>
    </row>
    <row r="24" spans="2:44">
      <c r="C24" s="421"/>
      <c r="D24" s="421"/>
      <c r="E24" s="421"/>
      <c r="F24" s="421"/>
      <c r="G24" s="421"/>
      <c r="H24" s="421"/>
      <c r="I24" s="421"/>
      <c r="J24" s="421"/>
      <c r="K24" s="421"/>
      <c r="L24" s="421"/>
      <c r="M24" s="421"/>
      <c r="N24" s="421"/>
    </row>
    <row r="25" spans="2:44">
      <c r="C25" s="421"/>
      <c r="D25" s="421"/>
      <c r="E25" s="421"/>
      <c r="F25" s="421"/>
      <c r="G25" s="421"/>
      <c r="H25" s="421"/>
      <c r="I25" s="421"/>
      <c r="J25" s="421"/>
      <c r="K25" s="421"/>
      <c r="L25" s="421"/>
      <c r="M25" s="421"/>
      <c r="N25" s="421"/>
    </row>
    <row r="26" spans="2:44">
      <c r="C26" s="421"/>
      <c r="D26" s="421"/>
      <c r="E26" s="421"/>
      <c r="F26" s="421"/>
      <c r="G26" s="421"/>
      <c r="H26" s="421"/>
      <c r="I26" s="421"/>
      <c r="J26" s="421"/>
      <c r="K26" s="421"/>
      <c r="L26" s="421"/>
      <c r="M26" s="421"/>
      <c r="N26" s="421"/>
    </row>
    <row r="27" spans="2:44">
      <c r="C27" s="421"/>
      <c r="D27" s="421"/>
      <c r="E27" s="421"/>
      <c r="F27" s="421"/>
      <c r="G27" s="421"/>
      <c r="H27" s="421"/>
      <c r="I27" s="421"/>
      <c r="J27" s="421"/>
      <c r="K27" s="421"/>
      <c r="L27" s="421"/>
      <c r="M27" s="421"/>
      <c r="N27" s="421"/>
    </row>
    <row r="28" spans="2:44">
      <c r="C28" s="421"/>
      <c r="D28" s="421"/>
      <c r="E28" s="421"/>
      <c r="F28" s="421"/>
      <c r="G28" s="421"/>
      <c r="H28" s="421"/>
      <c r="I28" s="421"/>
      <c r="J28" s="421"/>
      <c r="K28" s="421"/>
      <c r="L28" s="421"/>
      <c r="M28" s="421"/>
      <c r="N28" s="421"/>
    </row>
    <row r="29" spans="2:44">
      <c r="C29" s="421"/>
      <c r="D29" s="421"/>
      <c r="E29" s="421"/>
      <c r="F29" s="421"/>
      <c r="G29" s="421"/>
      <c r="H29" s="421"/>
      <c r="I29" s="421"/>
      <c r="J29" s="421"/>
      <c r="K29" s="421"/>
      <c r="L29" s="421"/>
      <c r="M29" s="421"/>
      <c r="N29" s="421"/>
    </row>
    <row r="30" spans="2:44">
      <c r="C30" s="421"/>
      <c r="D30" s="421"/>
      <c r="E30" s="421"/>
      <c r="F30" s="421"/>
      <c r="G30" s="421"/>
      <c r="H30" s="421"/>
      <c r="I30" s="421"/>
      <c r="J30" s="421"/>
      <c r="K30" s="421"/>
      <c r="L30" s="421"/>
      <c r="M30" s="421"/>
      <c r="N30" s="421"/>
    </row>
    <row r="31" spans="2:44">
      <c r="C31" s="421"/>
      <c r="D31" s="421"/>
      <c r="E31" s="421"/>
      <c r="F31" s="421"/>
      <c r="G31" s="421"/>
      <c r="H31" s="421"/>
      <c r="I31" s="421"/>
      <c r="J31" s="421"/>
      <c r="K31" s="421"/>
      <c r="L31" s="421"/>
      <c r="M31" s="421"/>
      <c r="N31" s="421"/>
    </row>
    <row r="32" spans="2:44">
      <c r="B32" s="449" t="s">
        <v>605</v>
      </c>
      <c r="C32" s="160"/>
      <c r="D32" s="160"/>
      <c r="E32" s="160"/>
      <c r="F32" s="160"/>
      <c r="G32" s="160"/>
      <c r="H32" s="160"/>
      <c r="I32" s="160"/>
      <c r="J32" s="160"/>
      <c r="K32" s="160"/>
      <c r="L32" s="160"/>
      <c r="M32" s="160"/>
      <c r="N32" s="160"/>
    </row>
    <row r="33" spans="1:97">
      <c r="B33" s="446" t="s">
        <v>719</v>
      </c>
      <c r="C33" s="1084" t="str">
        <f>IF(C48&lt;&gt;"",AVERAGE(C49:L49),"")</f>
        <v/>
      </c>
      <c r="D33" s="1084"/>
      <c r="E33" s="447"/>
      <c r="F33" s="448" t="s">
        <v>597</v>
      </c>
      <c r="G33" s="448"/>
      <c r="H33" s="1084" t="str">
        <f>IF(C33="","",C33*3.27)</f>
        <v/>
      </c>
      <c r="I33" s="1084"/>
      <c r="J33" s="447"/>
      <c r="K33" s="448" t="s">
        <v>598</v>
      </c>
      <c r="L33" s="448"/>
      <c r="M33" s="1084" t="str">
        <f>IF(C33&lt;&gt;"",0,"")</f>
        <v/>
      </c>
      <c r="N33" s="1092"/>
    </row>
    <row r="34" spans="1:97" s="160" customFormat="1">
      <c r="AG34" s="1"/>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row>
    <row r="35" spans="1:97">
      <c r="AH35" s="10" t="s">
        <v>606</v>
      </c>
    </row>
    <row r="37" spans="1:97">
      <c r="AH37" s="10" t="s">
        <v>601</v>
      </c>
      <c r="AI37" s="306">
        <v>1</v>
      </c>
      <c r="AJ37" s="306">
        <f t="shared" ref="AJ37:AR37" si="5">AI37+1</f>
        <v>2</v>
      </c>
      <c r="AK37" s="306">
        <f t="shared" si="5"/>
        <v>3</v>
      </c>
      <c r="AL37" s="306">
        <f t="shared" si="5"/>
        <v>4</v>
      </c>
      <c r="AM37" s="306">
        <f t="shared" si="5"/>
        <v>5</v>
      </c>
      <c r="AN37" s="306">
        <f t="shared" si="5"/>
        <v>6</v>
      </c>
      <c r="AO37" s="306">
        <f t="shared" si="5"/>
        <v>7</v>
      </c>
      <c r="AP37" s="306">
        <f t="shared" si="5"/>
        <v>8</v>
      </c>
      <c r="AQ37" s="306">
        <f t="shared" si="5"/>
        <v>9</v>
      </c>
      <c r="AR37" s="306">
        <f t="shared" si="5"/>
        <v>10</v>
      </c>
    </row>
    <row r="38" spans="1:97">
      <c r="AH38" s="10" t="s">
        <v>602</v>
      </c>
      <c r="AI38" s="450" t="str">
        <f t="shared" ref="AI38:AR38" si="6">$H$33</f>
        <v/>
      </c>
      <c r="AJ38" s="450" t="str">
        <f t="shared" si="6"/>
        <v/>
      </c>
      <c r="AK38" s="450" t="str">
        <f t="shared" si="6"/>
        <v/>
      </c>
      <c r="AL38" s="450" t="str">
        <f t="shared" si="6"/>
        <v/>
      </c>
      <c r="AM38" s="450" t="str">
        <f t="shared" si="6"/>
        <v/>
      </c>
      <c r="AN38" s="450" t="str">
        <f t="shared" si="6"/>
        <v/>
      </c>
      <c r="AO38" s="450" t="str">
        <f t="shared" si="6"/>
        <v/>
      </c>
      <c r="AP38" s="450" t="str">
        <f t="shared" si="6"/>
        <v/>
      </c>
      <c r="AQ38" s="450" t="str">
        <f t="shared" si="6"/>
        <v/>
      </c>
      <c r="AR38" s="450" t="str">
        <f t="shared" si="6"/>
        <v/>
      </c>
    </row>
    <row r="39" spans="1:97">
      <c r="AH39" s="10" t="s">
        <v>459</v>
      </c>
      <c r="AI39" s="450">
        <f>AVERAGE(C49:L49)</f>
        <v>0</v>
      </c>
      <c r="AJ39" s="450">
        <f t="shared" ref="AJ39:AR39" si="7">$AI$39</f>
        <v>0</v>
      </c>
      <c r="AK39" s="450">
        <f t="shared" si="7"/>
        <v>0</v>
      </c>
      <c r="AL39" s="450">
        <f t="shared" si="7"/>
        <v>0</v>
      </c>
      <c r="AM39" s="450">
        <f t="shared" si="7"/>
        <v>0</v>
      </c>
      <c r="AN39" s="450">
        <f t="shared" si="7"/>
        <v>0</v>
      </c>
      <c r="AO39" s="450">
        <f t="shared" si="7"/>
        <v>0</v>
      </c>
      <c r="AP39" s="450">
        <f t="shared" si="7"/>
        <v>0</v>
      </c>
      <c r="AQ39" s="450">
        <f t="shared" si="7"/>
        <v>0</v>
      </c>
      <c r="AR39" s="450">
        <f t="shared" si="7"/>
        <v>0</v>
      </c>
    </row>
    <row r="40" spans="1:97">
      <c r="AH40" s="10" t="s">
        <v>607</v>
      </c>
      <c r="AI40" s="450" t="str">
        <f t="shared" ref="AI40:AR40" si="8">C49</f>
        <v>n/a</v>
      </c>
      <c r="AJ40" s="450">
        <f t="shared" si="8"/>
        <v>0</v>
      </c>
      <c r="AK40" s="450">
        <f t="shared" si="8"/>
        <v>0</v>
      </c>
      <c r="AL40" s="450">
        <f t="shared" si="8"/>
        <v>0</v>
      </c>
      <c r="AM40" s="450">
        <f t="shared" si="8"/>
        <v>0</v>
      </c>
      <c r="AN40" s="450">
        <f t="shared" si="8"/>
        <v>0</v>
      </c>
      <c r="AO40" s="450">
        <f t="shared" si="8"/>
        <v>0</v>
      </c>
      <c r="AP40" s="450">
        <f t="shared" si="8"/>
        <v>0</v>
      </c>
      <c r="AQ40" s="450">
        <f t="shared" si="8"/>
        <v>0</v>
      </c>
      <c r="AR40" s="450">
        <f t="shared" si="8"/>
        <v>0</v>
      </c>
    </row>
    <row r="41" spans="1:97">
      <c r="AH41" s="10" t="s">
        <v>604</v>
      </c>
      <c r="AI41" s="450" t="str">
        <f t="shared" ref="AI41:AR41" si="9">$M$33</f>
        <v/>
      </c>
      <c r="AJ41" s="450" t="str">
        <f t="shared" si="9"/>
        <v/>
      </c>
      <c r="AK41" s="450" t="str">
        <f t="shared" si="9"/>
        <v/>
      </c>
      <c r="AL41" s="450" t="str">
        <f t="shared" si="9"/>
        <v/>
      </c>
      <c r="AM41" s="450" t="str">
        <f t="shared" si="9"/>
        <v/>
      </c>
      <c r="AN41" s="450" t="str">
        <f t="shared" si="9"/>
        <v/>
      </c>
      <c r="AO41" s="450" t="str">
        <f t="shared" si="9"/>
        <v/>
      </c>
      <c r="AP41" s="450" t="str">
        <f t="shared" si="9"/>
        <v/>
      </c>
      <c r="AQ41" s="450" t="str">
        <f t="shared" si="9"/>
        <v/>
      </c>
      <c r="AR41" s="450" t="str">
        <f t="shared" si="9"/>
        <v/>
      </c>
    </row>
    <row r="47" spans="1:97" s="180" customFormat="1" ht="24.95" customHeight="1">
      <c r="A47" s="893" t="s">
        <v>641</v>
      </c>
      <c r="B47" s="1103"/>
      <c r="C47" s="454">
        <v>1</v>
      </c>
      <c r="D47" s="454">
        <f t="shared" ref="D47:L47" si="10">C47+1</f>
        <v>2</v>
      </c>
      <c r="E47" s="454">
        <f t="shared" si="10"/>
        <v>3</v>
      </c>
      <c r="F47" s="454">
        <f t="shared" si="10"/>
        <v>4</v>
      </c>
      <c r="G47" s="454">
        <f t="shared" si="10"/>
        <v>5</v>
      </c>
      <c r="H47" s="454">
        <f t="shared" si="10"/>
        <v>6</v>
      </c>
      <c r="I47" s="454">
        <f t="shared" si="10"/>
        <v>7</v>
      </c>
      <c r="J47" s="454">
        <f t="shared" si="10"/>
        <v>8</v>
      </c>
      <c r="K47" s="454">
        <f t="shared" si="10"/>
        <v>9</v>
      </c>
      <c r="L47" s="454">
        <f t="shared" si="10"/>
        <v>10</v>
      </c>
      <c r="M47" s="453"/>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453"/>
      <c r="AT47" s="453"/>
      <c r="AU47" s="453"/>
      <c r="AV47" s="453"/>
      <c r="AW47" s="453"/>
      <c r="AX47" s="453"/>
      <c r="AY47" s="453"/>
      <c r="AZ47" s="453"/>
      <c r="BA47" s="453"/>
      <c r="BB47" s="453"/>
      <c r="BC47" s="453"/>
      <c r="BD47" s="453"/>
      <c r="BE47" s="453"/>
      <c r="BF47" s="453"/>
      <c r="BG47" s="453"/>
      <c r="BH47" s="453"/>
      <c r="BI47" s="453"/>
      <c r="BJ47" s="453"/>
      <c r="BK47" s="453"/>
      <c r="BL47" s="453"/>
      <c r="BM47" s="453"/>
      <c r="BN47" s="453"/>
      <c r="BO47" s="453"/>
      <c r="BP47" s="453"/>
      <c r="BQ47" s="453"/>
      <c r="BR47" s="453"/>
      <c r="BS47" s="453"/>
      <c r="BT47" s="453"/>
      <c r="BU47" s="453"/>
      <c r="BV47" s="453"/>
      <c r="BW47" s="453"/>
      <c r="BX47" s="453"/>
      <c r="BY47" s="453"/>
    </row>
    <row r="48" spans="1:97" s="180" customFormat="1" ht="23.25" customHeight="1">
      <c r="A48" s="1104" t="s">
        <v>343</v>
      </c>
      <c r="B48" s="1105"/>
      <c r="C48" s="473"/>
      <c r="D48" s="457"/>
      <c r="E48" s="457"/>
      <c r="F48" s="457"/>
      <c r="G48" s="457"/>
      <c r="H48" s="457"/>
      <c r="I48" s="457"/>
      <c r="J48" s="457"/>
      <c r="K48" s="457"/>
      <c r="L48" s="457"/>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453"/>
      <c r="AY48" s="453"/>
      <c r="AZ48" s="453"/>
      <c r="BA48" s="453"/>
      <c r="BB48" s="453"/>
      <c r="BC48" s="453"/>
      <c r="BD48" s="453"/>
      <c r="BE48" s="453"/>
      <c r="BF48" s="453"/>
      <c r="BG48" s="453"/>
      <c r="BH48" s="453"/>
      <c r="BI48" s="453"/>
      <c r="BJ48" s="453"/>
      <c r="BK48" s="453"/>
      <c r="BL48" s="453"/>
      <c r="BM48" s="453"/>
      <c r="BN48" s="453"/>
      <c r="BO48" s="453"/>
      <c r="BP48" s="453"/>
      <c r="BQ48" s="453"/>
      <c r="BR48" s="453"/>
      <c r="BS48" s="453"/>
      <c r="BT48" s="453"/>
      <c r="BU48" s="453"/>
      <c r="BV48" s="453"/>
      <c r="BW48" s="453"/>
      <c r="BX48" s="453"/>
      <c r="BY48" s="453"/>
    </row>
    <row r="49" spans="1:77" s="180" customFormat="1" ht="24.95" customHeight="1">
      <c r="A49" s="466" t="s">
        <v>160</v>
      </c>
      <c r="B49" s="465" t="s">
        <v>615</v>
      </c>
      <c r="C49" s="463" t="s">
        <v>642</v>
      </c>
      <c r="D49" s="463">
        <f t="shared" ref="D49:L49" si="11">ABS(D48-C48)</f>
        <v>0</v>
      </c>
      <c r="E49" s="463">
        <f t="shared" si="11"/>
        <v>0</v>
      </c>
      <c r="F49" s="463">
        <f t="shared" si="11"/>
        <v>0</v>
      </c>
      <c r="G49" s="463">
        <f t="shared" si="11"/>
        <v>0</v>
      </c>
      <c r="H49" s="463">
        <f t="shared" si="11"/>
        <v>0</v>
      </c>
      <c r="I49" s="463">
        <f t="shared" si="11"/>
        <v>0</v>
      </c>
      <c r="J49" s="463">
        <f t="shared" si="11"/>
        <v>0</v>
      </c>
      <c r="K49" s="463">
        <f t="shared" si="11"/>
        <v>0</v>
      </c>
      <c r="L49" s="463">
        <f t="shared" si="11"/>
        <v>0</v>
      </c>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3"/>
      <c r="AO49" s="453"/>
      <c r="AP49" s="453"/>
      <c r="AQ49" s="453"/>
      <c r="AR49" s="453"/>
      <c r="AS49" s="453"/>
      <c r="AT49" s="453"/>
      <c r="AU49" s="453"/>
      <c r="AV49" s="453"/>
      <c r="AW49" s="453"/>
      <c r="AX49" s="453"/>
      <c r="AY49" s="453"/>
      <c r="AZ49" s="453"/>
      <c r="BA49" s="453"/>
      <c r="BB49" s="453"/>
      <c r="BC49" s="453"/>
      <c r="BD49" s="453"/>
      <c r="BE49" s="453"/>
      <c r="BF49" s="453"/>
      <c r="BG49" s="453"/>
      <c r="BH49" s="453"/>
      <c r="BI49" s="453"/>
      <c r="BJ49" s="453"/>
      <c r="BK49" s="453"/>
      <c r="BL49" s="453"/>
      <c r="BM49" s="453"/>
      <c r="BN49" s="453"/>
      <c r="BO49" s="453"/>
      <c r="BP49" s="453"/>
      <c r="BQ49" s="453"/>
      <c r="BR49" s="453"/>
      <c r="BS49" s="453"/>
      <c r="BT49" s="453"/>
      <c r="BU49" s="453"/>
      <c r="BV49" s="453"/>
      <c r="BW49" s="453"/>
      <c r="BX49" s="453"/>
      <c r="BY49" s="453"/>
    </row>
    <row r="50" spans="1:77">
      <c r="C50" s="467" t="str">
        <f>IF(C49&lt;&gt;"",IF(OR(C48&gt;$H$13,C48&lt;$M$13),"**",""),"")</f>
        <v/>
      </c>
      <c r="D50" s="467" t="str">
        <f t="shared" ref="D50:L50" si="12">IF(D49&lt;&gt;"",IF(OR(D49&gt;$H$33,D48&gt;$H$13,D48&lt;$M$13),"**",""),"")</f>
        <v/>
      </c>
      <c r="E50" s="467" t="str">
        <f t="shared" si="12"/>
        <v/>
      </c>
      <c r="F50" s="467" t="str">
        <f t="shared" si="12"/>
        <v/>
      </c>
      <c r="G50" s="467" t="str">
        <f t="shared" si="12"/>
        <v/>
      </c>
      <c r="H50" s="467" t="str">
        <f t="shared" si="12"/>
        <v/>
      </c>
      <c r="I50" s="467" t="str">
        <f t="shared" si="12"/>
        <v/>
      </c>
      <c r="J50" s="467" t="str">
        <f t="shared" si="12"/>
        <v/>
      </c>
      <c r="K50" s="467" t="str">
        <f t="shared" si="12"/>
        <v/>
      </c>
      <c r="L50" s="467" t="str">
        <f t="shared" si="12"/>
        <v/>
      </c>
      <c r="M50" s="467"/>
      <c r="N50" s="467"/>
      <c r="O50" s="467"/>
      <c r="P50" s="467"/>
      <c r="Q50" s="467"/>
      <c r="R50" s="467"/>
      <c r="S50" s="467"/>
      <c r="T50" s="467"/>
      <c r="U50" s="467"/>
      <c r="V50" s="467"/>
      <c r="W50" s="467"/>
      <c r="X50" s="467"/>
      <c r="Y50" s="467"/>
      <c r="Z50" s="467"/>
      <c r="AA50" s="467"/>
      <c r="AB50" s="467"/>
      <c r="AC50" s="467"/>
      <c r="AD50" s="467"/>
      <c r="AE50" s="467"/>
      <c r="AF50" s="467"/>
      <c r="AH50" s="453"/>
      <c r="AI50" s="453"/>
      <c r="AJ50" s="453"/>
      <c r="AK50" s="453"/>
      <c r="AL50" s="453"/>
      <c r="AM50" s="453"/>
      <c r="AN50" s="453"/>
      <c r="AO50" s="453"/>
      <c r="AP50" s="453"/>
      <c r="AQ50" s="453"/>
      <c r="AR50" s="453"/>
    </row>
    <row r="51" spans="1:77">
      <c r="C51" s="160" t="s">
        <v>616</v>
      </c>
      <c r="AH51" s="453"/>
      <c r="AI51" s="453"/>
      <c r="AJ51" s="453"/>
      <c r="AK51" s="453"/>
      <c r="AL51" s="453"/>
      <c r="AM51" s="453"/>
      <c r="AN51" s="453"/>
      <c r="AO51" s="453"/>
      <c r="AP51" s="453"/>
      <c r="AQ51" s="453"/>
      <c r="AR51" s="453"/>
    </row>
    <row r="53" spans="1:77" ht="20.25">
      <c r="A53" s="115"/>
      <c r="B53" s="1102" t="s">
        <v>643</v>
      </c>
      <c r="C53" s="1102"/>
      <c r="D53" s="1102"/>
      <c r="E53" s="1102"/>
      <c r="F53" s="1102"/>
      <c r="G53" s="1102"/>
      <c r="H53" s="1102"/>
      <c r="I53" s="1102"/>
      <c r="J53" s="1102"/>
      <c r="K53" s="1102"/>
      <c r="L53" s="1102"/>
      <c r="M53" s="1102"/>
      <c r="N53" s="1102"/>
      <c r="O53" s="1102"/>
      <c r="P53" s="1102"/>
      <c r="Q53" s="1102"/>
      <c r="R53" s="1102"/>
      <c r="S53" s="1102"/>
      <c r="T53" s="1102"/>
      <c r="U53" s="1102"/>
      <c r="V53" s="1102"/>
      <c r="W53" s="1102"/>
      <c r="X53" s="1102"/>
      <c r="Y53" s="1102"/>
      <c r="Z53" s="1102"/>
      <c r="AA53" s="117"/>
    </row>
    <row r="54" spans="1:77">
      <c r="A54" s="115"/>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7"/>
    </row>
    <row r="55" spans="1:77">
      <c r="A55" s="109"/>
      <c r="B55" s="4" t="s">
        <v>644</v>
      </c>
      <c r="C55" s="4"/>
      <c r="D55" s="4"/>
      <c r="E55" s="4"/>
      <c r="F55" s="4"/>
      <c r="G55" s="4" t="str">
        <f>IF(L48&lt;&gt;"",IF(OR(C50&lt;&gt;"",D50&lt;&gt;"",E50&lt;&gt;"",F50&lt;&gt;"",G50&lt;&gt;"",H50&lt;&gt;"",I50&lt;&gt;"",J50&lt;&gt;"",K50&lt;&gt;"",L50&lt;&gt;""),"No","Yes"),"")</f>
        <v/>
      </c>
      <c r="H55" s="4"/>
      <c r="I55" s="4"/>
      <c r="J55" s="4"/>
      <c r="K55" s="4"/>
      <c r="L55" s="4" t="s">
        <v>645</v>
      </c>
      <c r="M55" s="4"/>
      <c r="N55" s="4"/>
      <c r="O55" s="4"/>
      <c r="P55" s="4"/>
      <c r="Q55" s="4"/>
      <c r="R55" s="1058" t="str">
        <f>IF(L48&lt;&gt;"",STDEV(C48:L48)*6/(R10-W10)*100,"")</f>
        <v/>
      </c>
      <c r="S55" s="1058"/>
      <c r="T55" s="428"/>
      <c r="U55" s="428"/>
      <c r="V55" s="4"/>
      <c r="W55" s="4" t="str">
        <f>IF(R55&lt;&gt;"",IF(R55&gt;30,"Reject","Accept"),"")</f>
        <v/>
      </c>
      <c r="X55" s="4"/>
      <c r="Y55" s="4"/>
      <c r="Z55" s="4"/>
      <c r="AA55" s="110"/>
    </row>
    <row r="56" spans="1:77">
      <c r="A56" s="109"/>
      <c r="B56" s="4"/>
      <c r="C56" s="4"/>
      <c r="D56" s="4"/>
      <c r="E56" s="4"/>
      <c r="F56" s="4"/>
      <c r="G56" s="4"/>
      <c r="H56" s="4"/>
      <c r="I56" s="4"/>
      <c r="J56" s="4"/>
      <c r="K56" s="4"/>
      <c r="L56" s="4"/>
      <c r="M56" s="4"/>
      <c r="N56" s="4"/>
      <c r="O56" s="4"/>
      <c r="P56" s="4"/>
      <c r="Q56" s="4"/>
      <c r="R56" s="4"/>
      <c r="S56" s="4"/>
      <c r="T56" s="4"/>
      <c r="U56" s="4"/>
      <c r="V56" s="4"/>
      <c r="W56" s="4"/>
      <c r="X56" s="4"/>
      <c r="Y56" s="4"/>
      <c r="Z56" s="4"/>
      <c r="AA56" s="110"/>
    </row>
    <row r="57" spans="1:77">
      <c r="A57" s="109"/>
      <c r="B57" s="4" t="s">
        <v>646</v>
      </c>
      <c r="C57" s="4"/>
      <c r="D57" s="4"/>
      <c r="E57" s="4"/>
      <c r="F57" s="4"/>
      <c r="G57" s="4"/>
      <c r="H57" s="4"/>
      <c r="I57" s="4"/>
      <c r="J57" s="4"/>
      <c r="K57" s="4"/>
      <c r="L57" s="4"/>
      <c r="M57" s="4"/>
      <c r="N57" s="4"/>
      <c r="O57" s="4"/>
      <c r="P57" s="4"/>
      <c r="Q57" s="4"/>
      <c r="R57" s="4"/>
      <c r="S57" s="4"/>
      <c r="T57" s="4"/>
      <c r="U57" s="4"/>
      <c r="V57" s="4"/>
      <c r="W57" s="4"/>
      <c r="X57" s="4"/>
      <c r="Y57" s="4"/>
      <c r="Z57" s="4"/>
      <c r="AA57" s="110"/>
    </row>
    <row r="58" spans="1:77">
      <c r="A58" s="112"/>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4"/>
    </row>
  </sheetData>
  <mergeCells count="16">
    <mergeCell ref="A1:AA4"/>
    <mergeCell ref="A5:P5"/>
    <mergeCell ref="A6:P6"/>
    <mergeCell ref="B53:Z53"/>
    <mergeCell ref="C13:D13"/>
    <mergeCell ref="W10:AA10"/>
    <mergeCell ref="A47:B47"/>
    <mergeCell ref="A48:B48"/>
    <mergeCell ref="C33:D33"/>
    <mergeCell ref="Q6:T6"/>
    <mergeCell ref="R55:S55"/>
    <mergeCell ref="H13:I13"/>
    <mergeCell ref="M13:N13"/>
    <mergeCell ref="R10:V10"/>
    <mergeCell ref="H33:I33"/>
    <mergeCell ref="M33:N33"/>
  </mergeCells>
  <phoneticPr fontId="26" type="noConversion"/>
  <printOptions horizontalCentered="1" verticalCentered="1"/>
  <pageMargins left="0.25" right="0.25" top="0.16" bottom="1.3125" header="0.17" footer="0.16"/>
  <pageSetup fitToHeight="2" orientation="portrait" r:id="rId1"/>
  <headerFooter alignWithMargins="0">
    <oddFooter xml:space="preserve">&amp;L&amp;6&amp;Z&amp;F&amp;CQAI_6012 AAR Mobility PPAP Workbook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0"/>
    <pageSetUpPr fitToPage="1"/>
  </sheetPr>
  <dimension ref="A1:L41"/>
  <sheetViews>
    <sheetView tabSelected="1" topLeftCell="A7" zoomScale="130" zoomScaleNormal="130" workbookViewId="0">
      <selection activeCell="A27" sqref="A27:D27"/>
    </sheetView>
  </sheetViews>
  <sheetFormatPr defaultColWidth="9.140625" defaultRowHeight="12.75"/>
  <cols>
    <col min="1" max="4" width="23.7109375" style="1" customWidth="1"/>
    <col min="5" max="12" width="3.5703125" style="1" customWidth="1"/>
    <col min="13" max="16384" width="9.140625" style="1"/>
  </cols>
  <sheetData>
    <row r="1" spans="1:12" ht="12.75" customHeight="1">
      <c r="A1" s="700"/>
      <c r="B1" s="701"/>
      <c r="C1" s="706" t="s">
        <v>868</v>
      </c>
      <c r="D1" s="707"/>
      <c r="E1" s="707"/>
      <c r="F1" s="707"/>
      <c r="G1" s="707"/>
      <c r="H1" s="707"/>
      <c r="I1" s="707"/>
      <c r="J1" s="707"/>
      <c r="K1" s="707"/>
      <c r="L1" s="708"/>
    </row>
    <row r="2" spans="1:12" ht="12.75" customHeight="1">
      <c r="A2" s="702"/>
      <c r="B2" s="703"/>
      <c r="C2" s="709"/>
      <c r="D2" s="709"/>
      <c r="E2" s="709"/>
      <c r="F2" s="709"/>
      <c r="G2" s="709"/>
      <c r="H2" s="709"/>
      <c r="I2" s="709"/>
      <c r="J2" s="709"/>
      <c r="K2" s="709"/>
      <c r="L2" s="710"/>
    </row>
    <row r="3" spans="1:12" ht="12.75" customHeight="1">
      <c r="A3" s="702"/>
      <c r="B3" s="703"/>
      <c r="C3" s="709"/>
      <c r="D3" s="709"/>
      <c r="E3" s="709"/>
      <c r="F3" s="709"/>
      <c r="G3" s="709"/>
      <c r="H3" s="709"/>
      <c r="I3" s="709"/>
      <c r="J3" s="709"/>
      <c r="K3" s="709"/>
      <c r="L3" s="710"/>
    </row>
    <row r="4" spans="1:12" ht="12.75" customHeight="1">
      <c r="A4" s="702"/>
      <c r="B4" s="703"/>
      <c r="C4" s="709"/>
      <c r="D4" s="709"/>
      <c r="E4" s="709"/>
      <c r="F4" s="709"/>
      <c r="G4" s="709"/>
      <c r="H4" s="709"/>
      <c r="I4" s="709"/>
      <c r="J4" s="709"/>
      <c r="K4" s="709"/>
      <c r="L4" s="710"/>
    </row>
    <row r="5" spans="1:12" ht="13.5" customHeight="1" thickBot="1">
      <c r="A5" s="704"/>
      <c r="B5" s="705"/>
      <c r="C5" s="711"/>
      <c r="D5" s="711"/>
      <c r="E5" s="711"/>
      <c r="F5" s="711"/>
      <c r="G5" s="711"/>
      <c r="H5" s="711"/>
      <c r="I5" s="711"/>
      <c r="J5" s="711"/>
      <c r="K5" s="711"/>
      <c r="L5" s="712"/>
    </row>
    <row r="6" spans="1:12" ht="12.75" customHeight="1">
      <c r="A6" s="84" t="s">
        <v>161</v>
      </c>
      <c r="B6" s="555" t="str">
        <f>INTRO!D29</f>
        <v>P-NUMBER</v>
      </c>
      <c r="C6" s="84" t="s">
        <v>78</v>
      </c>
      <c r="D6" s="87"/>
      <c r="E6" s="713"/>
      <c r="F6" s="714"/>
      <c r="G6" s="714"/>
      <c r="H6" s="714"/>
      <c r="I6" s="714"/>
      <c r="J6" s="714"/>
      <c r="K6" s="714"/>
      <c r="L6" s="715"/>
    </row>
    <row r="7" spans="1:12">
      <c r="A7" s="85" t="s">
        <v>162</v>
      </c>
      <c r="B7" s="556" t="str">
        <f>INTRO!D31</f>
        <v>ECN</v>
      </c>
      <c r="C7" s="85" t="s">
        <v>163</v>
      </c>
      <c r="D7" s="557" t="str">
        <f>INTRO!D28</f>
        <v>NAME</v>
      </c>
      <c r="E7" s="716"/>
      <c r="F7" s="717"/>
      <c r="G7" s="717"/>
      <c r="H7" s="717"/>
      <c r="I7" s="717"/>
      <c r="J7" s="717"/>
      <c r="K7" s="717"/>
      <c r="L7" s="718"/>
    </row>
    <row r="8" spans="1:12">
      <c r="A8" s="85" t="s">
        <v>164</v>
      </c>
      <c r="B8" s="556" t="str">
        <f>INTRO!D36</f>
        <v>SUPPLIER COMPANY</v>
      </c>
      <c r="C8" s="85" t="s">
        <v>165</v>
      </c>
      <c r="D8" s="88"/>
      <c r="E8" s="716"/>
      <c r="F8" s="717"/>
      <c r="G8" s="717"/>
      <c r="H8" s="717"/>
      <c r="I8" s="717"/>
      <c r="J8" s="717"/>
      <c r="K8" s="717"/>
      <c r="L8" s="718"/>
    </row>
    <row r="9" spans="1:12">
      <c r="A9" s="85" t="s">
        <v>166</v>
      </c>
      <c r="B9" s="556" t="str">
        <f>INTRO!D37</f>
        <v>NUMBER</v>
      </c>
      <c r="C9" s="85" t="s">
        <v>0</v>
      </c>
      <c r="D9" s="557">
        <f>INTRO!D45</f>
        <v>0</v>
      </c>
      <c r="E9" s="716"/>
      <c r="F9" s="717"/>
      <c r="G9" s="717"/>
      <c r="H9" s="717"/>
      <c r="I9" s="717"/>
      <c r="J9" s="717"/>
      <c r="K9" s="717"/>
      <c r="L9" s="718"/>
    </row>
    <row r="10" spans="1:12">
      <c r="A10" s="85" t="s">
        <v>167</v>
      </c>
      <c r="B10" s="86"/>
      <c r="C10" s="85" t="s">
        <v>168</v>
      </c>
      <c r="D10" s="89"/>
      <c r="E10" s="716"/>
      <c r="F10" s="717"/>
      <c r="G10" s="717"/>
      <c r="H10" s="717"/>
      <c r="I10" s="717"/>
      <c r="J10" s="717"/>
      <c r="K10" s="717"/>
      <c r="L10" s="718"/>
    </row>
    <row r="11" spans="1:12" ht="13.5" thickBot="1">
      <c r="A11" s="108"/>
      <c r="E11" s="719"/>
      <c r="F11" s="720"/>
      <c r="G11" s="720"/>
      <c r="H11" s="720"/>
      <c r="I11" s="720"/>
      <c r="J11" s="720"/>
      <c r="K11" s="720"/>
      <c r="L11" s="721"/>
    </row>
    <row r="12" spans="1:12" ht="13.5" thickBot="1">
      <c r="A12" s="724" t="s">
        <v>6</v>
      </c>
      <c r="B12" s="725"/>
      <c r="C12" s="725"/>
      <c r="D12" s="725"/>
      <c r="E12" s="725"/>
      <c r="F12" s="725"/>
      <c r="G12" s="725"/>
      <c r="H12" s="725"/>
      <c r="I12" s="725"/>
      <c r="J12" s="726"/>
      <c r="K12" s="726"/>
      <c r="L12" s="727"/>
    </row>
    <row r="13" spans="1:12" ht="38.25" customHeight="1">
      <c r="A13" s="1106" t="s">
        <v>909</v>
      </c>
      <c r="B13" s="1107"/>
      <c r="C13" s="1107"/>
      <c r="D13" s="1107"/>
      <c r="E13" s="681" t="s">
        <v>878</v>
      </c>
      <c r="F13" s="682"/>
      <c r="G13" s="682"/>
      <c r="H13" s="682"/>
      <c r="I13" s="682"/>
      <c r="J13" s="682"/>
      <c r="K13" s="682"/>
      <c r="L13" s="683"/>
    </row>
    <row r="14" spans="1:12">
      <c r="A14" s="679" t="s">
        <v>910</v>
      </c>
      <c r="B14" s="680"/>
      <c r="C14" s="680"/>
      <c r="D14" s="680"/>
      <c r="E14" s="684"/>
      <c r="F14" s="685"/>
      <c r="G14" s="685"/>
      <c r="H14" s="685"/>
      <c r="I14" s="685"/>
      <c r="J14" s="685"/>
      <c r="K14" s="685"/>
      <c r="L14" s="686"/>
    </row>
    <row r="15" spans="1:12" ht="27" customHeight="1" thickBot="1">
      <c r="A15" s="677" t="s">
        <v>879</v>
      </c>
      <c r="B15" s="678"/>
      <c r="C15" s="678"/>
      <c r="D15" s="678"/>
      <c r="E15" s="687"/>
      <c r="F15" s="688"/>
      <c r="G15" s="688"/>
      <c r="H15" s="688"/>
      <c r="I15" s="688"/>
      <c r="J15" s="688"/>
      <c r="K15" s="688"/>
      <c r="L15" s="689"/>
    </row>
    <row r="16" spans="1:12" ht="13.5" thickBot="1">
      <c r="A16" s="596" t="s">
        <v>877</v>
      </c>
      <c r="B16" s="33"/>
      <c r="C16" s="33"/>
      <c r="D16" s="33"/>
      <c r="E16" s="728" t="s">
        <v>169</v>
      </c>
      <c r="F16" s="729"/>
      <c r="G16" s="729"/>
      <c r="H16" s="729"/>
      <c r="I16" s="729"/>
      <c r="J16" s="729"/>
      <c r="K16" s="729"/>
      <c r="L16" s="730"/>
    </row>
    <row r="17" spans="1:12">
      <c r="A17" s="731" t="s">
        <v>170</v>
      </c>
      <c r="B17" s="732"/>
      <c r="C17" s="732"/>
      <c r="D17" s="732"/>
      <c r="E17" s="693">
        <v>1</v>
      </c>
      <c r="F17" s="733"/>
      <c r="G17" s="693">
        <v>2</v>
      </c>
      <c r="H17" s="733"/>
      <c r="I17" s="693">
        <v>3</v>
      </c>
      <c r="J17" s="733"/>
      <c r="K17" s="693">
        <v>4</v>
      </c>
      <c r="L17" s="694"/>
    </row>
    <row r="18" spans="1:12">
      <c r="A18" s="722" t="s">
        <v>789</v>
      </c>
      <c r="B18" s="723"/>
      <c r="C18" s="723"/>
      <c r="D18" s="723"/>
      <c r="E18" s="669" t="s">
        <v>256</v>
      </c>
      <c r="F18" s="670"/>
      <c r="G18" s="671" t="s">
        <v>33</v>
      </c>
      <c r="H18" s="672"/>
      <c r="I18" s="671" t="s">
        <v>33</v>
      </c>
      <c r="J18" s="672"/>
      <c r="K18" s="671" t="s">
        <v>33</v>
      </c>
      <c r="L18" s="672"/>
    </row>
    <row r="19" spans="1:12" ht="25.5" customHeight="1">
      <c r="A19" s="734" t="s">
        <v>875</v>
      </c>
      <c r="B19" s="735"/>
      <c r="C19" s="735"/>
      <c r="D19" s="735"/>
      <c r="E19" s="676" t="s">
        <v>876</v>
      </c>
      <c r="F19" s="670"/>
      <c r="G19" s="695" t="s">
        <v>896</v>
      </c>
      <c r="H19" s="672"/>
      <c r="I19" s="695" t="s">
        <v>897</v>
      </c>
      <c r="J19" s="672"/>
      <c r="K19" s="695" t="s">
        <v>896</v>
      </c>
      <c r="L19" s="672"/>
    </row>
    <row r="20" spans="1:12">
      <c r="A20" s="738" t="s">
        <v>898</v>
      </c>
      <c r="B20" s="736"/>
      <c r="C20" s="736"/>
      <c r="D20" s="737"/>
      <c r="E20" s="676" t="s">
        <v>876</v>
      </c>
      <c r="F20" s="670"/>
      <c r="G20" s="671" t="s">
        <v>33</v>
      </c>
      <c r="H20" s="672"/>
      <c r="I20" s="671" t="s">
        <v>33</v>
      </c>
      <c r="J20" s="672"/>
      <c r="K20" s="671" t="s">
        <v>33</v>
      </c>
      <c r="L20" s="672"/>
    </row>
    <row r="21" spans="1:12" ht="25.5" customHeight="1">
      <c r="A21" s="666" t="s">
        <v>899</v>
      </c>
      <c r="B21" s="736"/>
      <c r="C21" s="736"/>
      <c r="D21" s="737"/>
      <c r="E21" s="669" t="s">
        <v>256</v>
      </c>
      <c r="F21" s="670"/>
      <c r="G21" s="671" t="s">
        <v>33</v>
      </c>
      <c r="H21" s="672"/>
      <c r="I21" s="671" t="s">
        <v>33</v>
      </c>
      <c r="J21" s="672"/>
      <c r="K21" s="671" t="s">
        <v>33</v>
      </c>
      <c r="L21" s="672"/>
    </row>
    <row r="22" spans="1:12">
      <c r="A22" s="696" t="s">
        <v>900</v>
      </c>
      <c r="B22" s="697"/>
      <c r="C22" s="697"/>
      <c r="D22" s="697"/>
      <c r="E22" s="676" t="s">
        <v>876</v>
      </c>
      <c r="F22" s="670"/>
      <c r="G22" s="676" t="s">
        <v>876</v>
      </c>
      <c r="H22" s="670"/>
      <c r="I22" s="671" t="s">
        <v>33</v>
      </c>
      <c r="J22" s="672"/>
      <c r="K22" s="676" t="s">
        <v>876</v>
      </c>
      <c r="L22" s="670"/>
    </row>
    <row r="23" spans="1:12">
      <c r="A23" s="696" t="s">
        <v>750</v>
      </c>
      <c r="B23" s="697"/>
      <c r="C23" s="697"/>
      <c r="D23" s="697"/>
      <c r="E23" s="676" t="s">
        <v>876</v>
      </c>
      <c r="F23" s="670"/>
      <c r="G23" s="676" t="s">
        <v>876</v>
      </c>
      <c r="H23" s="670"/>
      <c r="I23" s="671" t="s">
        <v>33</v>
      </c>
      <c r="J23" s="672"/>
      <c r="K23" s="676" t="s">
        <v>876</v>
      </c>
      <c r="L23" s="670"/>
    </row>
    <row r="24" spans="1:12">
      <c r="A24" s="696" t="s">
        <v>751</v>
      </c>
      <c r="B24" s="697"/>
      <c r="C24" s="697"/>
      <c r="D24" s="697"/>
      <c r="E24" s="676" t="s">
        <v>876</v>
      </c>
      <c r="F24" s="670"/>
      <c r="G24" s="676" t="s">
        <v>876</v>
      </c>
      <c r="H24" s="670"/>
      <c r="I24" s="671" t="s">
        <v>33</v>
      </c>
      <c r="J24" s="672"/>
      <c r="K24" s="676" t="s">
        <v>876</v>
      </c>
      <c r="L24" s="670"/>
    </row>
    <row r="25" spans="1:12">
      <c r="A25" s="696" t="s">
        <v>752</v>
      </c>
      <c r="B25" s="697"/>
      <c r="C25" s="697"/>
      <c r="D25" s="697"/>
      <c r="E25" s="676" t="s">
        <v>876</v>
      </c>
      <c r="F25" s="670"/>
      <c r="G25" s="676" t="s">
        <v>876</v>
      </c>
      <c r="H25" s="670"/>
      <c r="I25" s="671" t="s">
        <v>33</v>
      </c>
      <c r="J25" s="672"/>
      <c r="K25" s="676" t="s">
        <v>876</v>
      </c>
      <c r="L25" s="670"/>
    </row>
    <row r="26" spans="1:12">
      <c r="A26" s="696" t="s">
        <v>901</v>
      </c>
      <c r="B26" s="697"/>
      <c r="C26" s="697"/>
      <c r="D26" s="697"/>
      <c r="E26" s="676" t="s">
        <v>876</v>
      </c>
      <c r="F26" s="670"/>
      <c r="G26" s="676" t="s">
        <v>876</v>
      </c>
      <c r="H26" s="670"/>
      <c r="I26" s="671" t="s">
        <v>33</v>
      </c>
      <c r="J26" s="672"/>
      <c r="K26" s="676" t="s">
        <v>876</v>
      </c>
      <c r="L26" s="670"/>
    </row>
    <row r="27" spans="1:12">
      <c r="A27" s="738" t="s">
        <v>902</v>
      </c>
      <c r="B27" s="736"/>
      <c r="C27" s="736"/>
      <c r="D27" s="737"/>
      <c r="E27" s="676" t="s">
        <v>876</v>
      </c>
      <c r="F27" s="670"/>
      <c r="G27" s="676" t="s">
        <v>876</v>
      </c>
      <c r="H27" s="670"/>
      <c r="I27" s="671" t="s">
        <v>33</v>
      </c>
      <c r="J27" s="672"/>
      <c r="K27" s="676" t="s">
        <v>876</v>
      </c>
      <c r="L27" s="670"/>
    </row>
    <row r="28" spans="1:12">
      <c r="A28" s="698" t="s">
        <v>903</v>
      </c>
      <c r="B28" s="699"/>
      <c r="C28" s="699"/>
      <c r="D28" s="699"/>
      <c r="E28" s="676" t="s">
        <v>876</v>
      </c>
      <c r="F28" s="670"/>
      <c r="G28" s="676" t="s">
        <v>876</v>
      </c>
      <c r="H28" s="670"/>
      <c r="I28" s="671" t="s">
        <v>33</v>
      </c>
      <c r="J28" s="672"/>
      <c r="K28" s="676" t="s">
        <v>876</v>
      </c>
      <c r="L28" s="670"/>
    </row>
    <row r="29" spans="1:12">
      <c r="A29" s="698" t="s">
        <v>904</v>
      </c>
      <c r="B29" s="699"/>
      <c r="C29" s="699"/>
      <c r="D29" s="699"/>
      <c r="E29" s="676" t="s">
        <v>876</v>
      </c>
      <c r="F29" s="670"/>
      <c r="G29" s="676" t="s">
        <v>876</v>
      </c>
      <c r="H29" s="670"/>
      <c r="I29" s="671" t="s">
        <v>33</v>
      </c>
      <c r="J29" s="672"/>
      <c r="K29" s="676" t="s">
        <v>876</v>
      </c>
      <c r="L29" s="670"/>
    </row>
    <row r="30" spans="1:12">
      <c r="A30" s="696" t="s">
        <v>905</v>
      </c>
      <c r="B30" s="697"/>
      <c r="C30" s="697"/>
      <c r="D30" s="697"/>
      <c r="E30" s="676" t="s">
        <v>876</v>
      </c>
      <c r="F30" s="670"/>
      <c r="G30" s="676" t="s">
        <v>876</v>
      </c>
      <c r="H30" s="670"/>
      <c r="I30" s="671" t="s">
        <v>33</v>
      </c>
      <c r="J30" s="672"/>
      <c r="K30" s="676" t="s">
        <v>876</v>
      </c>
      <c r="L30" s="670"/>
    </row>
    <row r="31" spans="1:12">
      <c r="A31" s="696" t="s">
        <v>906</v>
      </c>
      <c r="B31" s="697"/>
      <c r="C31" s="697"/>
      <c r="D31" s="697"/>
      <c r="E31" s="676" t="s">
        <v>876</v>
      </c>
      <c r="F31" s="670"/>
      <c r="G31" s="676" t="s">
        <v>876</v>
      </c>
      <c r="H31" s="670"/>
      <c r="I31" s="671" t="s">
        <v>33</v>
      </c>
      <c r="J31" s="672"/>
      <c r="K31" s="676" t="s">
        <v>876</v>
      </c>
      <c r="L31" s="670"/>
    </row>
    <row r="32" spans="1:12">
      <c r="A32" s="690" t="s">
        <v>907</v>
      </c>
      <c r="B32" s="691"/>
      <c r="C32" s="691"/>
      <c r="D32" s="692"/>
      <c r="E32" s="671" t="s">
        <v>33</v>
      </c>
      <c r="F32" s="672"/>
      <c r="G32" s="671" t="s">
        <v>33</v>
      </c>
      <c r="H32" s="672"/>
      <c r="I32" s="671" t="s">
        <v>33</v>
      </c>
      <c r="J32" s="672"/>
      <c r="K32" s="676" t="s">
        <v>876</v>
      </c>
      <c r="L32" s="670"/>
    </row>
    <row r="33" spans="1:12" ht="26.25" customHeight="1">
      <c r="A33" s="666" t="s">
        <v>908</v>
      </c>
      <c r="B33" s="667"/>
      <c r="C33" s="667"/>
      <c r="D33" s="668"/>
      <c r="E33" s="669" t="s">
        <v>256</v>
      </c>
      <c r="F33" s="670"/>
      <c r="G33" s="671" t="s">
        <v>33</v>
      </c>
      <c r="H33" s="672"/>
      <c r="I33" s="671" t="s">
        <v>33</v>
      </c>
      <c r="J33" s="672"/>
      <c r="K33" s="671" t="s">
        <v>33</v>
      </c>
      <c r="L33" s="672"/>
    </row>
    <row r="34" spans="1:12" ht="13.5" thickBot="1">
      <c r="A34" s="673" t="s">
        <v>911</v>
      </c>
      <c r="B34" s="674"/>
      <c r="C34" s="674"/>
      <c r="D34" s="675"/>
      <c r="E34" s="676" t="s">
        <v>876</v>
      </c>
      <c r="F34" s="670"/>
      <c r="G34" s="671" t="s">
        <v>33</v>
      </c>
      <c r="H34" s="672"/>
      <c r="I34" s="671" t="s">
        <v>33</v>
      </c>
      <c r="J34" s="672"/>
      <c r="K34" s="671" t="s">
        <v>33</v>
      </c>
      <c r="L34" s="672"/>
    </row>
    <row r="35" spans="1:12" ht="13.5" thickBot="1">
      <c r="A35" s="748" t="s">
        <v>171</v>
      </c>
      <c r="B35" s="749"/>
      <c r="C35" s="749"/>
      <c r="D35" s="749"/>
      <c r="E35" s="749"/>
      <c r="F35" s="749"/>
      <c r="G35" s="749"/>
      <c r="H35" s="749"/>
      <c r="I35" s="749"/>
      <c r="J35" s="750"/>
      <c r="K35" s="750"/>
      <c r="L35" s="751"/>
    </row>
    <row r="36" spans="1:12">
      <c r="A36" s="739"/>
      <c r="B36" s="740"/>
      <c r="C36" s="740"/>
      <c r="D36" s="740"/>
      <c r="E36" s="740"/>
      <c r="F36" s="740"/>
      <c r="G36" s="740"/>
      <c r="H36" s="740"/>
      <c r="I36" s="740"/>
      <c r="J36" s="740"/>
      <c r="K36" s="740"/>
      <c r="L36" s="741"/>
    </row>
    <row r="37" spans="1:12">
      <c r="A37" s="742"/>
      <c r="B37" s="743"/>
      <c r="C37" s="743"/>
      <c r="D37" s="743"/>
      <c r="E37" s="743"/>
      <c r="F37" s="743"/>
      <c r="G37" s="743"/>
      <c r="H37" s="743"/>
      <c r="I37" s="743"/>
      <c r="J37" s="743"/>
      <c r="K37" s="743"/>
      <c r="L37" s="744"/>
    </row>
    <row r="38" spans="1:12">
      <c r="A38" s="742"/>
      <c r="B38" s="743"/>
      <c r="C38" s="743"/>
      <c r="D38" s="743"/>
      <c r="E38" s="743"/>
      <c r="F38" s="743"/>
      <c r="G38" s="743"/>
      <c r="H38" s="743"/>
      <c r="I38" s="743"/>
      <c r="J38" s="743"/>
      <c r="K38" s="743"/>
      <c r="L38" s="744"/>
    </row>
    <row r="39" spans="1:12">
      <c r="A39" s="742"/>
      <c r="B39" s="743"/>
      <c r="C39" s="743"/>
      <c r="D39" s="743"/>
      <c r="E39" s="743"/>
      <c r="F39" s="743"/>
      <c r="G39" s="743"/>
      <c r="H39" s="743"/>
      <c r="I39" s="743"/>
      <c r="J39" s="743"/>
      <c r="K39" s="743"/>
      <c r="L39" s="744"/>
    </row>
    <row r="40" spans="1:12">
      <c r="A40" s="742"/>
      <c r="B40" s="743"/>
      <c r="C40" s="743"/>
      <c r="D40" s="743"/>
      <c r="E40" s="743"/>
      <c r="F40" s="743"/>
      <c r="G40" s="743"/>
      <c r="H40" s="743"/>
      <c r="I40" s="743"/>
      <c r="J40" s="743"/>
      <c r="K40" s="743"/>
      <c r="L40" s="744"/>
    </row>
    <row r="41" spans="1:12" ht="13.5" thickBot="1">
      <c r="A41" s="745"/>
      <c r="B41" s="746"/>
      <c r="C41" s="746"/>
      <c r="D41" s="746"/>
      <c r="E41" s="746"/>
      <c r="F41" s="746"/>
      <c r="G41" s="746"/>
      <c r="H41" s="746"/>
      <c r="I41" s="746"/>
      <c r="J41" s="746"/>
      <c r="K41" s="746"/>
      <c r="L41" s="747"/>
    </row>
  </sheetData>
  <mergeCells count="101">
    <mergeCell ref="E31:F31"/>
    <mergeCell ref="A36:L41"/>
    <mergeCell ref="A35:L35"/>
    <mergeCell ref="E28:F28"/>
    <mergeCell ref="E29:F29"/>
    <mergeCell ref="E30:F30"/>
    <mergeCell ref="E26:F26"/>
    <mergeCell ref="G26:H26"/>
    <mergeCell ref="G28:H28"/>
    <mergeCell ref="G29:H29"/>
    <mergeCell ref="G30:H30"/>
    <mergeCell ref="G27:H27"/>
    <mergeCell ref="I29:J29"/>
    <mergeCell ref="I30:J30"/>
    <mergeCell ref="I26:J26"/>
    <mergeCell ref="I31:J31"/>
    <mergeCell ref="I27:J27"/>
    <mergeCell ref="E19:F19"/>
    <mergeCell ref="G19:H19"/>
    <mergeCell ref="G21:H21"/>
    <mergeCell ref="I19:J19"/>
    <mergeCell ref="I21:J21"/>
    <mergeCell ref="A20:D20"/>
    <mergeCell ref="E27:F27"/>
    <mergeCell ref="A27:D27"/>
    <mergeCell ref="A26:D26"/>
    <mergeCell ref="A22:D22"/>
    <mergeCell ref="E22:F22"/>
    <mergeCell ref="G22:H22"/>
    <mergeCell ref="I22:J22"/>
    <mergeCell ref="A1:B5"/>
    <mergeCell ref="C1:L5"/>
    <mergeCell ref="E6:L11"/>
    <mergeCell ref="A18:D18"/>
    <mergeCell ref="A12:L12"/>
    <mergeCell ref="E16:L16"/>
    <mergeCell ref="A17:D17"/>
    <mergeCell ref="E18:F18"/>
    <mergeCell ref="G17:H17"/>
    <mergeCell ref="E17:F17"/>
    <mergeCell ref="G18:H18"/>
    <mergeCell ref="I17:J17"/>
    <mergeCell ref="I18:J18"/>
    <mergeCell ref="K18:L18"/>
    <mergeCell ref="K19:L19"/>
    <mergeCell ref="K21:L21"/>
    <mergeCell ref="I23:J23"/>
    <mergeCell ref="I24:J24"/>
    <mergeCell ref="I25:J25"/>
    <mergeCell ref="I28:J28"/>
    <mergeCell ref="A31:D31"/>
    <mergeCell ref="A29:D29"/>
    <mergeCell ref="A30:D30"/>
    <mergeCell ref="G31:H31"/>
    <mergeCell ref="E25:F25"/>
    <mergeCell ref="G23:H23"/>
    <mergeCell ref="G24:H24"/>
    <mergeCell ref="G25:H25"/>
    <mergeCell ref="A28:D28"/>
    <mergeCell ref="A23:D23"/>
    <mergeCell ref="A24:D24"/>
    <mergeCell ref="A25:D25"/>
    <mergeCell ref="E23:F23"/>
    <mergeCell ref="E24:F24"/>
    <mergeCell ref="A19:D19"/>
    <mergeCell ref="A21:D21"/>
    <mergeCell ref="E21:F21"/>
    <mergeCell ref="A15:D15"/>
    <mergeCell ref="A13:D13"/>
    <mergeCell ref="A14:D14"/>
    <mergeCell ref="E13:L15"/>
    <mergeCell ref="E20:F20"/>
    <mergeCell ref="G20:H20"/>
    <mergeCell ref="I20:J20"/>
    <mergeCell ref="K20:L20"/>
    <mergeCell ref="E32:F32"/>
    <mergeCell ref="G32:H32"/>
    <mergeCell ref="I32:J32"/>
    <mergeCell ref="K32:L32"/>
    <mergeCell ref="A32:D32"/>
    <mergeCell ref="K31:L31"/>
    <mergeCell ref="K27:L27"/>
    <mergeCell ref="K29:L29"/>
    <mergeCell ref="K30:L30"/>
    <mergeCell ref="K26:L26"/>
    <mergeCell ref="K22:L22"/>
    <mergeCell ref="K23:L23"/>
    <mergeCell ref="K24:L24"/>
    <mergeCell ref="K25:L25"/>
    <mergeCell ref="K28:L28"/>
    <mergeCell ref="K17:L17"/>
    <mergeCell ref="A33:D33"/>
    <mergeCell ref="E33:F33"/>
    <mergeCell ref="G33:H33"/>
    <mergeCell ref="I33:J33"/>
    <mergeCell ref="K33:L33"/>
    <mergeCell ref="A34:D34"/>
    <mergeCell ref="E34:F34"/>
    <mergeCell ref="G34:H34"/>
    <mergeCell ref="I34:J34"/>
    <mergeCell ref="K34:L34"/>
  </mergeCells>
  <phoneticPr fontId="26" type="noConversion"/>
  <hyperlinks>
    <hyperlink ref="A14" r:id="rId1" display="CadillacSupplier.Certs@aarcorp.com"/>
  </hyperlinks>
  <printOptions horizontalCentered="1" verticalCentered="1"/>
  <pageMargins left="0.25" right="0.25" top="0.41" bottom="0.8125" header="0.17" footer="0.16"/>
  <pageSetup scale="84" fitToHeight="27" orientation="portrait" r:id="rId2"/>
  <headerFooter alignWithMargins="0">
    <oddFooter xml:space="preserve">&amp;L&amp;6&amp;Z&amp;F&amp;CQAI_6012 AAR Mobility PPAP Workbook
</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1"/>
    <pageSetUpPr fitToPage="1"/>
  </sheetPr>
  <dimension ref="A1:I18"/>
  <sheetViews>
    <sheetView zoomScaleNormal="100" workbookViewId="0">
      <selection activeCell="O21" sqref="O21"/>
    </sheetView>
  </sheetViews>
  <sheetFormatPr defaultColWidth="9.140625" defaultRowHeight="12.75"/>
  <cols>
    <col min="1" max="9" width="10.5703125" style="1" customWidth="1"/>
    <col min="10" max="16384" width="9.140625" style="1"/>
  </cols>
  <sheetData>
    <row r="1" spans="1:9">
      <c r="A1" s="755" t="s">
        <v>870</v>
      </c>
      <c r="B1" s="658"/>
      <c r="C1" s="658"/>
      <c r="D1" s="658"/>
      <c r="E1" s="658"/>
      <c r="F1" s="658"/>
      <c r="G1" s="658"/>
      <c r="H1" s="658"/>
      <c r="I1" s="659"/>
    </row>
    <row r="2" spans="1:9">
      <c r="A2" s="756"/>
      <c r="B2" s="631"/>
      <c r="C2" s="631"/>
      <c r="D2" s="631"/>
      <c r="E2" s="631"/>
      <c r="F2" s="631"/>
      <c r="G2" s="631"/>
      <c r="H2" s="631"/>
      <c r="I2" s="757"/>
    </row>
    <row r="3" spans="1:9">
      <c r="A3" s="756"/>
      <c r="B3" s="631"/>
      <c r="C3" s="631"/>
      <c r="D3" s="631"/>
      <c r="E3" s="631"/>
      <c r="F3" s="631"/>
      <c r="G3" s="631"/>
      <c r="H3" s="631"/>
      <c r="I3" s="757"/>
    </row>
    <row r="4" spans="1:9">
      <c r="A4" s="756"/>
      <c r="B4" s="631"/>
      <c r="C4" s="631"/>
      <c r="D4" s="631"/>
      <c r="E4" s="631"/>
      <c r="F4" s="631"/>
      <c r="G4" s="631"/>
      <c r="H4" s="631"/>
      <c r="I4" s="757"/>
    </row>
    <row r="5" spans="1:9">
      <c r="A5" s="756"/>
      <c r="B5" s="631"/>
      <c r="C5" s="631"/>
      <c r="D5" s="631"/>
      <c r="E5" s="631"/>
      <c r="F5" s="631"/>
      <c r="G5" s="631"/>
      <c r="H5" s="631"/>
      <c r="I5" s="757"/>
    </row>
    <row r="6" spans="1:9" ht="13.5" thickBot="1">
      <c r="A6" s="660"/>
      <c r="B6" s="661"/>
      <c r="C6" s="661"/>
      <c r="D6" s="661"/>
      <c r="E6" s="661"/>
      <c r="F6" s="661"/>
      <c r="G6" s="661"/>
      <c r="H6" s="661"/>
      <c r="I6" s="662"/>
    </row>
    <row r="7" spans="1:9">
      <c r="A7" s="761" t="s">
        <v>1</v>
      </c>
      <c r="B7" s="762"/>
      <c r="C7" s="762"/>
      <c r="D7" s="762"/>
      <c r="E7" s="762"/>
      <c r="F7" s="762"/>
      <c r="G7" s="762"/>
      <c r="H7" s="762"/>
      <c r="I7" s="763"/>
    </row>
    <row r="8" spans="1:9">
      <c r="A8" s="764"/>
      <c r="B8" s="765"/>
      <c r="C8" s="765"/>
      <c r="D8" s="765"/>
      <c r="E8" s="765"/>
      <c r="F8" s="765"/>
      <c r="G8" s="765"/>
      <c r="H8" s="765"/>
      <c r="I8" s="766"/>
    </row>
    <row r="9" spans="1:9" ht="99" customHeight="1" thickBot="1">
      <c r="A9" s="758" t="s">
        <v>788</v>
      </c>
      <c r="B9" s="759"/>
      <c r="C9" s="759"/>
      <c r="D9" s="759"/>
      <c r="E9" s="759"/>
      <c r="F9" s="759"/>
      <c r="G9" s="759"/>
      <c r="H9" s="759"/>
      <c r="I9" s="760"/>
    </row>
    <row r="10" spans="1:9" ht="39" customHeight="1">
      <c r="A10" s="767" t="s">
        <v>745</v>
      </c>
      <c r="B10" s="768"/>
      <c r="C10" s="768"/>
      <c r="D10" s="768"/>
      <c r="E10" s="768"/>
      <c r="F10" s="768"/>
      <c r="G10" s="768"/>
      <c r="H10" s="768"/>
      <c r="I10" s="769"/>
    </row>
    <row r="11" spans="1:9" ht="39" customHeight="1">
      <c r="A11" s="770" t="s">
        <v>746</v>
      </c>
      <c r="B11" s="771"/>
      <c r="C11" s="771"/>
      <c r="D11" s="771"/>
      <c r="E11" s="771"/>
      <c r="F11" s="771"/>
      <c r="G11" s="771"/>
      <c r="H11" s="771"/>
      <c r="I11" s="772"/>
    </row>
    <row r="12" spans="1:9" s="180" customFormat="1" ht="39" customHeight="1">
      <c r="A12" s="752" t="s">
        <v>747</v>
      </c>
      <c r="B12" s="753"/>
      <c r="C12" s="753"/>
      <c r="D12" s="754" t="s">
        <v>154</v>
      </c>
      <c r="E12" s="754"/>
      <c r="F12" s="754"/>
      <c r="G12" s="754"/>
      <c r="H12" s="754"/>
      <c r="I12" s="246"/>
    </row>
    <row r="13" spans="1:9" ht="39" customHeight="1">
      <c r="A13" s="752" t="s">
        <v>748</v>
      </c>
      <c r="B13" s="753"/>
      <c r="C13" s="753"/>
      <c r="D13" s="754"/>
      <c r="E13" s="754"/>
      <c r="F13" s="754"/>
      <c r="G13" s="754"/>
      <c r="H13" s="754"/>
      <c r="I13" s="247"/>
    </row>
    <row r="14" spans="1:9" ht="39" customHeight="1">
      <c r="A14" s="752" t="s">
        <v>749</v>
      </c>
      <c r="B14" s="753"/>
      <c r="C14" s="753"/>
      <c r="D14" s="754"/>
      <c r="E14" s="754"/>
      <c r="F14" s="754"/>
      <c r="G14" s="754"/>
      <c r="H14" s="754"/>
      <c r="I14" s="247"/>
    </row>
    <row r="15" spans="1:9" ht="39" customHeight="1">
      <c r="A15" s="752" t="s">
        <v>790</v>
      </c>
      <c r="B15" s="753"/>
      <c r="C15" s="753"/>
      <c r="D15" s="754"/>
      <c r="E15" s="754"/>
      <c r="F15" s="754"/>
      <c r="G15" s="754"/>
      <c r="H15" s="754"/>
      <c r="I15" s="247"/>
    </row>
    <row r="16" spans="1:9" ht="39" customHeight="1">
      <c r="A16" s="752" t="s">
        <v>791</v>
      </c>
      <c r="B16" s="753"/>
      <c r="C16" s="753"/>
      <c r="D16" s="754"/>
      <c r="E16" s="754"/>
      <c r="F16" s="754"/>
      <c r="G16" s="754"/>
      <c r="H16" s="754"/>
      <c r="I16" s="247"/>
    </row>
    <row r="17" spans="1:9" ht="39" customHeight="1">
      <c r="A17" s="752" t="s">
        <v>792</v>
      </c>
      <c r="B17" s="753"/>
      <c r="C17" s="753"/>
      <c r="D17" s="754"/>
      <c r="E17" s="754"/>
      <c r="F17" s="754"/>
      <c r="G17" s="754"/>
      <c r="H17" s="754"/>
      <c r="I17" s="247"/>
    </row>
    <row r="18" spans="1:9" ht="39" customHeight="1" thickBot="1">
      <c r="A18" s="248"/>
      <c r="B18" s="249"/>
      <c r="C18" s="249"/>
      <c r="D18" s="249"/>
      <c r="E18" s="249"/>
      <c r="F18" s="249"/>
      <c r="G18" s="249"/>
      <c r="H18" s="249"/>
      <c r="I18" s="250"/>
    </row>
  </sheetData>
  <mergeCells count="17">
    <mergeCell ref="A12:C12"/>
    <mergeCell ref="D12:H12"/>
    <mergeCell ref="A1:I6"/>
    <mergeCell ref="A16:C16"/>
    <mergeCell ref="D16:H16"/>
    <mergeCell ref="A9:I9"/>
    <mergeCell ref="A7:I8"/>
    <mergeCell ref="A13:C13"/>
    <mergeCell ref="D13:H13"/>
    <mergeCell ref="A10:I10"/>
    <mergeCell ref="A11:I11"/>
    <mergeCell ref="A17:C17"/>
    <mergeCell ref="D17:H17"/>
    <mergeCell ref="A14:C14"/>
    <mergeCell ref="D14:H14"/>
    <mergeCell ref="A15:C15"/>
    <mergeCell ref="D15:H15"/>
  </mergeCells>
  <phoneticPr fontId="26" type="noConversion"/>
  <printOptions horizontalCentered="1" verticalCentered="1"/>
  <pageMargins left="0.25" right="0.25" top="0.41" bottom="0.8125" header="0.17" footer="0.16"/>
  <pageSetup fitToHeight="27" orientation="portrait" r:id="rId1"/>
  <headerFooter alignWithMargins="0">
    <oddFooter xml:space="preserve">&amp;L&amp;6&amp;Z&amp;F&amp;CQAI_6012 AAR Mobility PPAP Workbook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S72"/>
  <sheetViews>
    <sheetView showGridLines="0" zoomScaleNormal="100" workbookViewId="0">
      <selection activeCell="X44" sqref="X44"/>
    </sheetView>
  </sheetViews>
  <sheetFormatPr defaultRowHeight="12.75"/>
  <cols>
    <col min="1" max="1" width="1.5703125" style="599" customWidth="1"/>
    <col min="2" max="8" width="5.140625" style="599" customWidth="1"/>
    <col min="9" max="9" width="6" style="599" customWidth="1"/>
    <col min="10" max="10" width="5.140625" style="599" customWidth="1"/>
    <col min="11" max="11" width="10" style="599" customWidth="1"/>
    <col min="12" max="17" width="5.140625" style="599" customWidth="1"/>
    <col min="18" max="18" width="7.85546875" style="599" customWidth="1"/>
    <col min="19" max="19" width="1.5703125" style="599" customWidth="1"/>
    <col min="20" max="16384" width="9.140625" style="599"/>
  </cols>
  <sheetData>
    <row r="1" spans="1:19" ht="39.75" customHeight="1">
      <c r="A1" s="597"/>
      <c r="B1" s="598"/>
      <c r="C1" s="598"/>
      <c r="D1" s="598"/>
      <c r="E1" s="598"/>
      <c r="F1" s="598"/>
      <c r="G1" s="598"/>
      <c r="H1" s="788" t="s">
        <v>172</v>
      </c>
      <c r="I1" s="789"/>
      <c r="J1" s="789"/>
      <c r="K1" s="789"/>
      <c r="L1" s="789"/>
      <c r="M1" s="789"/>
      <c r="N1" s="789"/>
      <c r="O1" s="789"/>
      <c r="P1" s="789"/>
      <c r="Q1" s="789"/>
      <c r="R1" s="789"/>
      <c r="S1" s="790"/>
    </row>
    <row r="2" spans="1:19">
      <c r="A2" s="600"/>
      <c r="B2" s="601" t="s">
        <v>93</v>
      </c>
      <c r="D2" s="787" t="str">
        <f>INTRO!D28</f>
        <v>NAME</v>
      </c>
      <c r="E2" s="787"/>
      <c r="F2" s="787"/>
      <c r="G2" s="787"/>
      <c r="H2" s="787"/>
      <c r="I2" s="787"/>
      <c r="J2" s="787"/>
      <c r="K2" s="601" t="s">
        <v>891</v>
      </c>
      <c r="N2" s="787" t="str">
        <f>INTRO!D29</f>
        <v>P-NUMBER</v>
      </c>
      <c r="O2" s="787"/>
      <c r="P2" s="787"/>
      <c r="Q2" s="787"/>
      <c r="R2" s="787"/>
      <c r="S2" s="602"/>
    </row>
    <row r="3" spans="1:19" ht="6" customHeight="1">
      <c r="A3" s="600"/>
      <c r="S3" s="602"/>
    </row>
    <row r="4" spans="1:19">
      <c r="A4" s="600"/>
      <c r="B4" s="601" t="s">
        <v>77</v>
      </c>
      <c r="F4" s="787"/>
      <c r="G4" s="787"/>
      <c r="H4" s="787"/>
      <c r="I4" s="787"/>
      <c r="J4" s="787"/>
      <c r="K4" s="601" t="s">
        <v>849</v>
      </c>
      <c r="N4" s="791"/>
      <c r="O4" s="791"/>
      <c r="P4" s="791"/>
      <c r="Q4" s="791"/>
      <c r="R4" s="791"/>
      <c r="S4" s="602"/>
    </row>
    <row r="5" spans="1:19" ht="6" customHeight="1">
      <c r="A5" s="600"/>
      <c r="C5" s="603"/>
      <c r="D5" s="603"/>
      <c r="S5" s="602"/>
    </row>
    <row r="6" spans="1:19">
      <c r="A6" s="600"/>
      <c r="B6" s="601" t="s">
        <v>883</v>
      </c>
      <c r="C6" s="601"/>
      <c r="D6" s="601"/>
      <c r="F6" s="787" t="str">
        <f>INTRO!D31</f>
        <v>ECN</v>
      </c>
      <c r="G6" s="787"/>
      <c r="H6" s="787"/>
      <c r="I6" s="787"/>
      <c r="J6" s="787"/>
      <c r="K6" s="787"/>
      <c r="L6" s="787"/>
      <c r="M6" s="787"/>
      <c r="N6" s="604" t="s">
        <v>76</v>
      </c>
      <c r="O6" s="792" t="str">
        <f>INTRO!D32</f>
        <v>ECN DATE</v>
      </c>
      <c r="P6" s="787"/>
      <c r="S6" s="602"/>
    </row>
    <row r="7" spans="1:19" ht="5.25" customHeight="1">
      <c r="A7" s="600"/>
      <c r="S7" s="602"/>
    </row>
    <row r="8" spans="1:19">
      <c r="A8" s="600"/>
      <c r="B8" s="601" t="s">
        <v>125</v>
      </c>
      <c r="C8" s="603"/>
      <c r="D8" s="603"/>
      <c r="G8" s="601"/>
      <c r="K8" s="601" t="s">
        <v>78</v>
      </c>
      <c r="N8" s="776" t="s">
        <v>154</v>
      </c>
      <c r="O8" s="776"/>
      <c r="P8" s="785"/>
      <c r="Q8" s="785"/>
      <c r="R8" s="605"/>
      <c r="S8" s="602"/>
    </row>
    <row r="9" spans="1:19" ht="6" customHeight="1">
      <c r="A9" s="600"/>
      <c r="S9" s="602"/>
    </row>
    <row r="10" spans="1:19">
      <c r="A10" s="600"/>
      <c r="B10" s="606" t="s">
        <v>131</v>
      </c>
      <c r="K10" s="606" t="s">
        <v>126</v>
      </c>
      <c r="S10" s="602"/>
    </row>
    <row r="11" spans="1:19" ht="6" customHeight="1">
      <c r="A11" s="600"/>
      <c r="S11" s="602"/>
    </row>
    <row r="12" spans="1:19">
      <c r="A12" s="600"/>
      <c r="B12" s="786" t="str">
        <f>INTRO!D36</f>
        <v>SUPPLIER COMPANY</v>
      </c>
      <c r="C12" s="786"/>
      <c r="D12" s="786"/>
      <c r="E12" s="786"/>
      <c r="F12" s="786"/>
      <c r="G12" s="786"/>
      <c r="H12" s="787" t="str">
        <f>INTRO!D37</f>
        <v>NUMBER</v>
      </c>
      <c r="I12" s="787"/>
      <c r="K12" s="607"/>
      <c r="L12" s="607"/>
      <c r="M12" s="607"/>
      <c r="N12" s="607"/>
      <c r="O12" s="607"/>
      <c r="P12" s="607"/>
      <c r="Q12" s="607"/>
      <c r="R12" s="608"/>
      <c r="S12" s="602"/>
    </row>
    <row r="13" spans="1:19" ht="10.5" customHeight="1">
      <c r="A13" s="600"/>
      <c r="B13" s="601" t="s">
        <v>173</v>
      </c>
      <c r="G13" s="601"/>
      <c r="K13" s="601" t="s">
        <v>127</v>
      </c>
      <c r="S13" s="602"/>
    </row>
    <row r="14" spans="1:19" ht="6" customHeight="1">
      <c r="A14" s="600"/>
      <c r="S14" s="602"/>
    </row>
    <row r="15" spans="1:19">
      <c r="A15" s="600"/>
      <c r="B15" s="786" t="str">
        <f>INTRO!D38</f>
        <v>ADDRESS</v>
      </c>
      <c r="C15" s="786"/>
      <c r="D15" s="786"/>
      <c r="E15" s="786"/>
      <c r="F15" s="786"/>
      <c r="G15" s="786"/>
      <c r="H15" s="786"/>
      <c r="I15" s="786"/>
      <c r="K15" s="609"/>
      <c r="L15" s="607"/>
      <c r="M15" s="607"/>
      <c r="N15" s="607"/>
      <c r="O15" s="609"/>
      <c r="P15" s="609"/>
      <c r="Q15" s="609"/>
      <c r="R15" s="609"/>
      <c r="S15" s="602"/>
    </row>
    <row r="16" spans="1:19" ht="10.5" customHeight="1">
      <c r="A16" s="600"/>
      <c r="B16" s="601" t="s">
        <v>99</v>
      </c>
      <c r="K16" s="601" t="s">
        <v>884</v>
      </c>
      <c r="S16" s="602"/>
    </row>
    <row r="17" spans="1:19" ht="6" customHeight="1">
      <c r="A17" s="600"/>
      <c r="S17" s="602"/>
    </row>
    <row r="18" spans="1:19">
      <c r="A18" s="600"/>
      <c r="B18" s="786" t="str">
        <f>INTRO!D39</f>
        <v>CITY</v>
      </c>
      <c r="C18" s="786"/>
      <c r="D18" s="786"/>
      <c r="E18" s="786" t="str">
        <f>INTRO!D40</f>
        <v>STATE</v>
      </c>
      <c r="F18" s="786"/>
      <c r="G18" s="786" t="str">
        <f>INTRO!D42</f>
        <v>ZIP</v>
      </c>
      <c r="H18" s="786"/>
      <c r="I18" s="610" t="s">
        <v>174</v>
      </c>
      <c r="K18" s="611"/>
      <c r="L18" s="612"/>
      <c r="M18" s="612"/>
      <c r="N18" s="612"/>
      <c r="O18" s="612"/>
      <c r="P18" s="612"/>
      <c r="Q18" s="612"/>
      <c r="R18" s="612"/>
      <c r="S18" s="602"/>
    </row>
    <row r="19" spans="1:19">
      <c r="A19" s="600"/>
      <c r="B19" s="601" t="s">
        <v>101</v>
      </c>
      <c r="E19" s="601" t="s">
        <v>132</v>
      </c>
      <c r="G19" s="604" t="s">
        <v>175</v>
      </c>
      <c r="H19" s="604"/>
      <c r="I19" s="613" t="s">
        <v>120</v>
      </c>
      <c r="K19" s="614"/>
      <c r="L19" s="612"/>
      <c r="M19" s="612"/>
      <c r="N19" s="612"/>
      <c r="O19" s="612"/>
      <c r="P19" s="612"/>
      <c r="Q19" s="612"/>
      <c r="R19" s="612"/>
      <c r="S19" s="602"/>
    </row>
    <row r="20" spans="1:19" ht="6" customHeight="1">
      <c r="A20" s="600"/>
      <c r="S20" s="602"/>
    </row>
    <row r="21" spans="1:19">
      <c r="A21" s="600"/>
      <c r="B21" s="606" t="s">
        <v>176</v>
      </c>
      <c r="C21" s="601"/>
      <c r="D21" s="601"/>
      <c r="E21" s="615"/>
      <c r="F21" s="615"/>
      <c r="G21" s="615"/>
      <c r="H21" s="615"/>
      <c r="I21" s="615"/>
      <c r="J21" s="615"/>
      <c r="K21" s="615"/>
      <c r="L21" s="615"/>
      <c r="M21" s="615"/>
      <c r="S21" s="602"/>
    </row>
    <row r="22" spans="1:19" ht="15" customHeight="1">
      <c r="A22" s="600"/>
      <c r="B22" s="779" t="s">
        <v>885</v>
      </c>
      <c r="C22" s="779"/>
      <c r="D22" s="779"/>
      <c r="E22" s="779"/>
      <c r="F22" s="779"/>
      <c r="G22" s="779"/>
      <c r="H22" s="779"/>
      <c r="I22" s="779"/>
      <c r="J22" s="779"/>
      <c r="K22" s="779"/>
      <c r="L22" s="779"/>
      <c r="M22" s="779"/>
      <c r="N22" s="779"/>
      <c r="O22" s="779"/>
      <c r="P22" s="779"/>
      <c r="Q22" s="779"/>
      <c r="R22" s="779"/>
      <c r="S22" s="602"/>
    </row>
    <row r="23" spans="1:19" ht="13.5" customHeight="1">
      <c r="A23" s="600"/>
      <c r="B23" s="779"/>
      <c r="C23" s="779"/>
      <c r="D23" s="779"/>
      <c r="E23" s="779"/>
      <c r="F23" s="779"/>
      <c r="G23" s="779"/>
      <c r="H23" s="779"/>
      <c r="I23" s="779"/>
      <c r="J23" s="779"/>
      <c r="K23" s="779"/>
      <c r="L23" s="779"/>
      <c r="M23" s="779"/>
      <c r="N23" s="779"/>
      <c r="O23" s="779"/>
      <c r="P23" s="779"/>
      <c r="Q23" s="779"/>
      <c r="R23" s="779"/>
      <c r="S23" s="602"/>
    </row>
    <row r="24" spans="1:19" ht="4.5" customHeight="1">
      <c r="A24" s="600"/>
      <c r="S24" s="602"/>
    </row>
    <row r="25" spans="1:19">
      <c r="A25" s="600"/>
      <c r="B25" s="606" t="s">
        <v>177</v>
      </c>
      <c r="S25" s="602"/>
    </row>
    <row r="26" spans="1:19">
      <c r="A26" s="600"/>
      <c r="C26" s="601" t="s">
        <v>886</v>
      </c>
      <c r="M26" s="601" t="s">
        <v>79</v>
      </c>
      <c r="S26" s="602"/>
    </row>
    <row r="27" spans="1:19">
      <c r="A27" s="600"/>
      <c r="C27" s="601" t="s">
        <v>80</v>
      </c>
      <c r="M27" s="601" t="s">
        <v>81</v>
      </c>
      <c r="S27" s="602"/>
    </row>
    <row r="28" spans="1:19">
      <c r="A28" s="600"/>
      <c r="C28" s="601" t="s">
        <v>82</v>
      </c>
      <c r="M28" s="601" t="s">
        <v>83</v>
      </c>
      <c r="S28" s="602"/>
    </row>
    <row r="29" spans="1:19">
      <c r="A29" s="600"/>
      <c r="C29" s="601" t="s">
        <v>84</v>
      </c>
      <c r="M29" s="601" t="s">
        <v>85</v>
      </c>
      <c r="S29" s="602"/>
    </row>
    <row r="30" spans="1:19">
      <c r="A30" s="600"/>
      <c r="C30" s="601" t="s">
        <v>892</v>
      </c>
      <c r="M30" s="601" t="s">
        <v>86</v>
      </c>
      <c r="S30" s="602"/>
    </row>
    <row r="31" spans="1:19" ht="8.25" customHeight="1">
      <c r="A31" s="600"/>
      <c r="M31" s="607"/>
      <c r="N31" s="607"/>
      <c r="O31" s="607"/>
      <c r="P31" s="607"/>
      <c r="Q31" s="607"/>
      <c r="R31" s="607"/>
      <c r="S31" s="602"/>
    </row>
    <row r="32" spans="1:19" ht="9.75" customHeight="1">
      <c r="A32" s="600"/>
      <c r="B32" s="606" t="s">
        <v>87</v>
      </c>
      <c r="S32" s="602"/>
    </row>
    <row r="33" spans="1:19">
      <c r="A33" s="600"/>
      <c r="C33" s="601" t="s">
        <v>887</v>
      </c>
      <c r="S33" s="602"/>
    </row>
    <row r="34" spans="1:19">
      <c r="A34" s="600"/>
      <c r="C34" s="601" t="s">
        <v>888</v>
      </c>
      <c r="S34" s="602"/>
    </row>
    <row r="35" spans="1:19">
      <c r="A35" s="600"/>
      <c r="C35" s="606" t="s">
        <v>753</v>
      </c>
      <c r="S35" s="602"/>
    </row>
    <row r="36" spans="1:19">
      <c r="A36" s="600"/>
      <c r="C36" s="601"/>
      <c r="S36" s="602"/>
    </row>
    <row r="37" spans="1:19">
      <c r="A37" s="600"/>
      <c r="C37" s="601"/>
      <c r="S37" s="602"/>
    </row>
    <row r="38" spans="1:19">
      <c r="A38" s="600"/>
      <c r="C38" s="601"/>
      <c r="S38" s="602"/>
    </row>
    <row r="39" spans="1:19">
      <c r="A39" s="600"/>
      <c r="C39" s="601"/>
      <c r="S39" s="602"/>
    </row>
    <row r="40" spans="1:19">
      <c r="A40" s="600"/>
      <c r="C40" s="601"/>
      <c r="S40" s="602"/>
    </row>
    <row r="41" spans="1:19">
      <c r="A41" s="600"/>
      <c r="C41" s="601"/>
      <c r="S41" s="602"/>
    </row>
    <row r="42" spans="1:19" ht="4.5" customHeight="1">
      <c r="A42" s="600"/>
      <c r="C42" s="601"/>
      <c r="S42" s="602"/>
    </row>
    <row r="43" spans="1:19">
      <c r="A43" s="600"/>
      <c r="C43" s="601" t="s">
        <v>9</v>
      </c>
      <c r="S43" s="602"/>
    </row>
    <row r="44" spans="1:19">
      <c r="A44" s="600"/>
      <c r="C44" s="606" t="s">
        <v>754</v>
      </c>
      <c r="S44" s="602"/>
    </row>
    <row r="45" spans="1:19">
      <c r="A45" s="600"/>
      <c r="C45" s="601"/>
      <c r="S45" s="602"/>
    </row>
    <row r="46" spans="1:19">
      <c r="A46" s="600"/>
      <c r="C46" s="601"/>
      <c r="S46" s="602"/>
    </row>
    <row r="47" spans="1:19">
      <c r="A47" s="600"/>
      <c r="C47" s="601" t="s">
        <v>880</v>
      </c>
      <c r="S47" s="602"/>
    </row>
    <row r="48" spans="1:19">
      <c r="A48" s="600"/>
      <c r="C48" s="606" t="s">
        <v>881</v>
      </c>
      <c r="S48" s="602"/>
    </row>
    <row r="49" spans="1:19">
      <c r="A49" s="600"/>
      <c r="C49" s="606"/>
      <c r="S49" s="602"/>
    </row>
    <row r="50" spans="1:19">
      <c r="A50" s="600"/>
      <c r="C50" s="606"/>
      <c r="S50" s="602"/>
    </row>
    <row r="51" spans="1:19">
      <c r="A51" s="600"/>
      <c r="C51" s="606"/>
      <c r="S51" s="602"/>
    </row>
    <row r="52" spans="1:19">
      <c r="A52" s="600"/>
      <c r="C52" s="606"/>
      <c r="S52" s="602"/>
    </row>
    <row r="53" spans="1:19">
      <c r="A53" s="600"/>
      <c r="C53" s="601" t="s">
        <v>882</v>
      </c>
      <c r="S53" s="602"/>
    </row>
    <row r="54" spans="1:19" ht="3" customHeight="1">
      <c r="A54" s="600"/>
      <c r="S54" s="602"/>
    </row>
    <row r="55" spans="1:19">
      <c r="A55" s="600"/>
      <c r="B55" s="601" t="s">
        <v>128</v>
      </c>
      <c r="L55" s="601"/>
      <c r="S55" s="602"/>
    </row>
    <row r="56" spans="1:19" ht="6" customHeight="1">
      <c r="A56" s="600"/>
      <c r="B56" s="601"/>
      <c r="L56" s="601"/>
      <c r="S56" s="602"/>
    </row>
    <row r="57" spans="1:19" ht="9.75" customHeight="1">
      <c r="A57" s="600"/>
      <c r="B57" s="606" t="s">
        <v>889</v>
      </c>
      <c r="S57" s="602"/>
    </row>
    <row r="58" spans="1:19" ht="36.75" customHeight="1">
      <c r="A58" s="600"/>
      <c r="B58" s="780" t="s">
        <v>893</v>
      </c>
      <c r="C58" s="780"/>
      <c r="D58" s="780"/>
      <c r="E58" s="780"/>
      <c r="F58" s="780"/>
      <c r="G58" s="780"/>
      <c r="H58" s="780"/>
      <c r="I58" s="780"/>
      <c r="J58" s="780"/>
      <c r="K58" s="780"/>
      <c r="L58" s="780"/>
      <c r="M58" s="780"/>
      <c r="N58" s="780"/>
      <c r="O58" s="780"/>
      <c r="P58" s="780"/>
      <c r="Q58" s="780"/>
      <c r="R58" s="780"/>
      <c r="S58" s="602"/>
    </row>
    <row r="59" spans="1:19" ht="6.75" customHeight="1">
      <c r="A59" s="600"/>
      <c r="B59" s="616"/>
      <c r="C59" s="616"/>
      <c r="D59" s="616"/>
      <c r="E59" s="616"/>
      <c r="F59" s="616"/>
      <c r="G59" s="616"/>
      <c r="H59" s="616"/>
      <c r="I59" s="616"/>
      <c r="J59" s="616"/>
      <c r="K59" s="616"/>
      <c r="L59" s="616"/>
      <c r="M59" s="616"/>
      <c r="N59" s="616"/>
      <c r="O59" s="616"/>
      <c r="P59" s="616"/>
      <c r="Q59" s="616"/>
      <c r="R59" s="616"/>
      <c r="S59" s="602"/>
    </row>
    <row r="60" spans="1:19">
      <c r="A60" s="600"/>
      <c r="B60" s="601" t="s">
        <v>178</v>
      </c>
      <c r="F60" s="617"/>
      <c r="G60" s="618"/>
      <c r="H60" s="609"/>
      <c r="I60" s="609"/>
      <c r="J60" s="609"/>
      <c r="K60" s="609"/>
      <c r="L60" s="609"/>
      <c r="M60" s="609"/>
      <c r="N60" s="609"/>
      <c r="O60" s="613" t="s">
        <v>21</v>
      </c>
      <c r="P60" s="781"/>
      <c r="Q60" s="776"/>
      <c r="R60" s="776"/>
      <c r="S60" s="602"/>
    </row>
    <row r="61" spans="1:19" ht="6" customHeight="1">
      <c r="A61" s="600"/>
      <c r="S61" s="602"/>
    </row>
    <row r="62" spans="1:19">
      <c r="A62" s="600"/>
      <c r="B62" s="601" t="s">
        <v>88</v>
      </c>
      <c r="D62" s="773"/>
      <c r="E62" s="773"/>
      <c r="F62" s="773"/>
      <c r="G62" s="773"/>
      <c r="H62" s="782" t="s">
        <v>89</v>
      </c>
      <c r="I62" s="782"/>
      <c r="J62" s="783" t="str">
        <f>INTRO!D43</f>
        <v>555-555-5555</v>
      </c>
      <c r="K62" s="783"/>
      <c r="L62" s="783"/>
      <c r="M62" s="783"/>
      <c r="N62" s="782" t="s">
        <v>90</v>
      </c>
      <c r="O62" s="782"/>
      <c r="P62" s="784"/>
      <c r="Q62" s="784"/>
      <c r="R62" s="784"/>
      <c r="S62" s="602"/>
    </row>
    <row r="63" spans="1:19">
      <c r="A63" s="600"/>
      <c r="B63" s="601" t="s">
        <v>75</v>
      </c>
      <c r="C63" s="773"/>
      <c r="D63" s="773"/>
      <c r="E63" s="773"/>
      <c r="F63" s="773"/>
      <c r="G63" s="617"/>
      <c r="H63" s="604" t="s">
        <v>179</v>
      </c>
      <c r="I63" s="619"/>
      <c r="J63" s="609"/>
      <c r="K63" s="609"/>
      <c r="L63" s="620"/>
      <c r="M63" s="620"/>
      <c r="N63" s="621"/>
      <c r="O63" s="609"/>
      <c r="P63" s="620"/>
      <c r="Q63" s="622"/>
      <c r="R63" s="622"/>
      <c r="S63" s="602"/>
    </row>
    <row r="64" spans="1:19" ht="6" customHeight="1">
      <c r="A64" s="623"/>
      <c r="B64" s="607"/>
      <c r="C64" s="607"/>
      <c r="D64" s="607"/>
      <c r="E64" s="607"/>
      <c r="F64" s="607"/>
      <c r="G64" s="607"/>
      <c r="H64" s="607"/>
      <c r="I64" s="607"/>
      <c r="J64" s="607"/>
      <c r="K64" s="607"/>
      <c r="L64" s="607"/>
      <c r="M64" s="607"/>
      <c r="N64" s="607"/>
      <c r="O64" s="607"/>
      <c r="P64" s="607"/>
      <c r="Q64" s="607"/>
      <c r="R64" s="607"/>
      <c r="S64" s="602"/>
    </row>
    <row r="65" spans="1:19" ht="21.75" customHeight="1">
      <c r="A65" s="600"/>
      <c r="B65" s="774" t="s">
        <v>890</v>
      </c>
      <c r="C65" s="775"/>
      <c r="D65" s="775"/>
      <c r="E65" s="775"/>
      <c r="F65" s="775"/>
      <c r="G65" s="775"/>
      <c r="H65" s="775"/>
      <c r="I65" s="775"/>
      <c r="J65" s="775"/>
      <c r="K65" s="775"/>
      <c r="L65" s="775"/>
      <c r="M65" s="775"/>
      <c r="N65" s="775"/>
      <c r="O65" s="775"/>
      <c r="P65" s="775"/>
      <c r="Q65" s="775"/>
      <c r="R65" s="775"/>
      <c r="S65" s="602"/>
    </row>
    <row r="66" spans="1:19">
      <c r="A66" s="600"/>
      <c r="B66" s="601" t="s">
        <v>180</v>
      </c>
      <c r="I66" s="601"/>
      <c r="K66" s="601"/>
      <c r="L66" s="607" t="s">
        <v>154</v>
      </c>
      <c r="M66" s="607"/>
      <c r="N66" s="607"/>
      <c r="O66" s="607"/>
      <c r="P66" s="607"/>
      <c r="Q66" s="607"/>
      <c r="R66" s="607"/>
      <c r="S66" s="602"/>
    </row>
    <row r="67" spans="1:19" ht="6" customHeight="1">
      <c r="A67" s="600"/>
      <c r="B67" s="601"/>
      <c r="I67" s="601"/>
      <c r="K67" s="601"/>
      <c r="S67" s="602"/>
    </row>
    <row r="68" spans="1:19">
      <c r="A68" s="600"/>
      <c r="B68" s="601" t="s">
        <v>129</v>
      </c>
      <c r="E68" s="624"/>
      <c r="F68" s="607"/>
      <c r="G68" s="607"/>
      <c r="H68" s="607"/>
      <c r="I68" s="607"/>
      <c r="J68" s="607"/>
      <c r="K68" s="607"/>
      <c r="L68" s="607"/>
      <c r="M68" s="607"/>
      <c r="N68" s="607"/>
      <c r="O68" s="613" t="s">
        <v>21</v>
      </c>
      <c r="P68" s="776"/>
      <c r="Q68" s="776"/>
      <c r="R68" s="776"/>
      <c r="S68" s="602"/>
    </row>
    <row r="69" spans="1:19" ht="6" customHeight="1">
      <c r="A69" s="600"/>
      <c r="E69" s="625"/>
      <c r="S69" s="602"/>
    </row>
    <row r="70" spans="1:19">
      <c r="A70" s="600"/>
      <c r="B70" s="601" t="s">
        <v>88</v>
      </c>
      <c r="D70" s="609"/>
      <c r="E70" s="609"/>
      <c r="F70" s="609"/>
      <c r="G70" s="609"/>
      <c r="H70" s="607"/>
      <c r="I70" s="607"/>
      <c r="J70" s="601" t="s">
        <v>130</v>
      </c>
      <c r="O70" s="609"/>
      <c r="P70" s="609"/>
      <c r="Q70" s="609"/>
      <c r="R70" s="609"/>
      <c r="S70" s="602"/>
    </row>
    <row r="71" spans="1:19">
      <c r="A71" s="600"/>
      <c r="B71" s="606"/>
      <c r="S71" s="602"/>
    </row>
    <row r="72" spans="1:19" ht="27.75" customHeight="1" thickBot="1">
      <c r="A72" s="626"/>
      <c r="B72" s="777"/>
      <c r="C72" s="778"/>
      <c r="D72" s="778"/>
      <c r="E72" s="778"/>
      <c r="F72" s="778"/>
      <c r="G72" s="778"/>
      <c r="H72" s="778"/>
      <c r="I72" s="778"/>
      <c r="J72" s="778"/>
      <c r="K72" s="778"/>
      <c r="L72" s="778"/>
      <c r="M72" s="778"/>
      <c r="N72" s="778"/>
      <c r="O72" s="778"/>
      <c r="P72" s="778"/>
      <c r="Q72" s="778"/>
      <c r="R72" s="778"/>
      <c r="S72" s="627"/>
    </row>
  </sheetData>
  <mergeCells count="27">
    <mergeCell ref="B18:D18"/>
    <mergeCell ref="E18:F18"/>
    <mergeCell ref="G18:H18"/>
    <mergeCell ref="H1:S1"/>
    <mergeCell ref="D2:J2"/>
    <mergeCell ref="N2:R2"/>
    <mergeCell ref="F4:J4"/>
    <mergeCell ref="N4:R4"/>
    <mergeCell ref="F6:M6"/>
    <mergeCell ref="O6:P6"/>
    <mergeCell ref="N8:O8"/>
    <mergeCell ref="P8:Q8"/>
    <mergeCell ref="B12:G12"/>
    <mergeCell ref="H12:I12"/>
    <mergeCell ref="B15:I15"/>
    <mergeCell ref="C63:F63"/>
    <mergeCell ref="B65:R65"/>
    <mergeCell ref="P68:R68"/>
    <mergeCell ref="B72:R72"/>
    <mergeCell ref="B22:R23"/>
    <mergeCell ref="B58:R58"/>
    <mergeCell ref="P60:R60"/>
    <mergeCell ref="D62:G62"/>
    <mergeCell ref="H62:I62"/>
    <mergeCell ref="J62:M62"/>
    <mergeCell ref="N62:O62"/>
    <mergeCell ref="P62:R62"/>
  </mergeCells>
  <printOptions horizontalCentered="1" verticalCentered="1"/>
  <pageMargins left="0.25" right="0.25" top="0.28000000000000003" bottom="0.37" header="0.17" footer="0.16"/>
  <pageSetup scale="87" orientation="portrait" r:id="rId1"/>
  <headerFooter alignWithMargins="0">
    <oddHeader xml:space="preserve">&amp;C&amp;"Calibri,Regular" Oshkosh Corporation Classification - Restricted&amp;1#
</oddHeader>
    <oddFooter>&amp;L&amp;P of &amp;N&amp;RPPAP: Revision 2.0
Date: 04/08/19</oddFooter>
    <evenHeader>&amp;C&amp;"calibri,Regular"Oshkosh Corporation Classification: Unrestricted</evenHeader>
    <evenFooter>&amp;L&amp;P of &amp;N&amp;RPPAP: Revision 1.8
Date: 4/30/17</evenFooter>
    <firstHeader>&amp;C&amp;"calibri,Regular"Oshkosh Corporation Classification: Unrestricted</firstHeader>
    <firstFooter>&amp;L&amp;P of &amp;N&amp;RPPAP: Revision 1.8
Date: 4/30/17</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1">
              <controlPr locked="0" defaultSize="0" autoFill="0" autoLine="0" autoPict="0">
                <anchor moveWithCells="1">
                  <from>
                    <xdr:col>1</xdr:col>
                    <xdr:colOff>38100</xdr:colOff>
                    <xdr:row>24</xdr:row>
                    <xdr:rowOff>152400</xdr:rowOff>
                  </from>
                  <to>
                    <xdr:col>2</xdr:col>
                    <xdr:colOff>0</xdr:colOff>
                    <xdr:row>26</xdr:row>
                    <xdr:rowOff>28575</xdr:rowOff>
                  </to>
                </anchor>
              </controlPr>
            </control>
          </mc:Choice>
        </mc:AlternateContent>
        <mc:AlternateContent xmlns:mc="http://schemas.openxmlformats.org/markup-compatibility/2006">
          <mc:Choice Requires="x14">
            <control shapeId="119810" r:id="rId5" name="Check Box 2">
              <controlPr locked="0" defaultSize="0" autoFill="0" autoLine="0" autoPict="0">
                <anchor moveWithCells="1">
                  <from>
                    <xdr:col>1</xdr:col>
                    <xdr:colOff>38100</xdr:colOff>
                    <xdr:row>25</xdr:row>
                    <xdr:rowOff>142875</xdr:rowOff>
                  </from>
                  <to>
                    <xdr:col>2</xdr:col>
                    <xdr:colOff>0</xdr:colOff>
                    <xdr:row>27</xdr:row>
                    <xdr:rowOff>28575</xdr:rowOff>
                  </to>
                </anchor>
              </controlPr>
            </control>
          </mc:Choice>
        </mc:AlternateContent>
        <mc:AlternateContent xmlns:mc="http://schemas.openxmlformats.org/markup-compatibility/2006">
          <mc:Choice Requires="x14">
            <control shapeId="119811" r:id="rId6" name="Check Box 3">
              <controlPr locked="0" defaultSize="0" autoFill="0" autoLine="0" autoPict="0">
                <anchor moveWithCells="1">
                  <from>
                    <xdr:col>1</xdr:col>
                    <xdr:colOff>38100</xdr:colOff>
                    <xdr:row>26</xdr:row>
                    <xdr:rowOff>142875</xdr:rowOff>
                  </from>
                  <to>
                    <xdr:col>2</xdr:col>
                    <xdr:colOff>0</xdr:colOff>
                    <xdr:row>28</xdr:row>
                    <xdr:rowOff>28575</xdr:rowOff>
                  </to>
                </anchor>
              </controlPr>
            </control>
          </mc:Choice>
        </mc:AlternateContent>
        <mc:AlternateContent xmlns:mc="http://schemas.openxmlformats.org/markup-compatibility/2006">
          <mc:Choice Requires="x14">
            <control shapeId="119812" r:id="rId7" name="Check Box 4">
              <controlPr locked="0" defaultSize="0" autoFill="0" autoLine="0" autoPict="0">
                <anchor moveWithCells="1">
                  <from>
                    <xdr:col>1</xdr:col>
                    <xdr:colOff>38100</xdr:colOff>
                    <xdr:row>27</xdr:row>
                    <xdr:rowOff>142875</xdr:rowOff>
                  </from>
                  <to>
                    <xdr:col>2</xdr:col>
                    <xdr:colOff>0</xdr:colOff>
                    <xdr:row>29</xdr:row>
                    <xdr:rowOff>28575</xdr:rowOff>
                  </to>
                </anchor>
              </controlPr>
            </control>
          </mc:Choice>
        </mc:AlternateContent>
        <mc:AlternateContent xmlns:mc="http://schemas.openxmlformats.org/markup-compatibility/2006">
          <mc:Choice Requires="x14">
            <control shapeId="119813" r:id="rId8" name="Check Box 5">
              <controlPr locked="0" defaultSize="0" autoFill="0" autoLine="0" autoPict="0">
                <anchor moveWithCells="1">
                  <from>
                    <xdr:col>1</xdr:col>
                    <xdr:colOff>38100</xdr:colOff>
                    <xdr:row>28</xdr:row>
                    <xdr:rowOff>142875</xdr:rowOff>
                  </from>
                  <to>
                    <xdr:col>2</xdr:col>
                    <xdr:colOff>0</xdr:colOff>
                    <xdr:row>30</xdr:row>
                    <xdr:rowOff>28575</xdr:rowOff>
                  </to>
                </anchor>
              </controlPr>
            </control>
          </mc:Choice>
        </mc:AlternateContent>
        <mc:AlternateContent xmlns:mc="http://schemas.openxmlformats.org/markup-compatibility/2006">
          <mc:Choice Requires="x14">
            <control shapeId="119814" r:id="rId9" name="Check Box 6">
              <controlPr locked="0" defaultSize="0" autoFill="0" autoLine="0" autoPict="0">
                <anchor moveWithCells="1">
                  <from>
                    <xdr:col>11</xdr:col>
                    <xdr:colOff>38100</xdr:colOff>
                    <xdr:row>26</xdr:row>
                    <xdr:rowOff>142875</xdr:rowOff>
                  </from>
                  <to>
                    <xdr:col>12</xdr:col>
                    <xdr:colOff>0</xdr:colOff>
                    <xdr:row>28</xdr:row>
                    <xdr:rowOff>28575</xdr:rowOff>
                  </to>
                </anchor>
              </controlPr>
            </control>
          </mc:Choice>
        </mc:AlternateContent>
        <mc:AlternateContent xmlns:mc="http://schemas.openxmlformats.org/markup-compatibility/2006">
          <mc:Choice Requires="x14">
            <control shapeId="119815" r:id="rId10" name="Check Box 7">
              <controlPr locked="0" defaultSize="0" autoFill="0" autoLine="0" autoPict="0">
                <anchor moveWithCells="1">
                  <from>
                    <xdr:col>11</xdr:col>
                    <xdr:colOff>38100</xdr:colOff>
                    <xdr:row>25</xdr:row>
                    <xdr:rowOff>142875</xdr:rowOff>
                  </from>
                  <to>
                    <xdr:col>12</xdr:col>
                    <xdr:colOff>0</xdr:colOff>
                    <xdr:row>27</xdr:row>
                    <xdr:rowOff>28575</xdr:rowOff>
                  </to>
                </anchor>
              </controlPr>
            </control>
          </mc:Choice>
        </mc:AlternateContent>
        <mc:AlternateContent xmlns:mc="http://schemas.openxmlformats.org/markup-compatibility/2006">
          <mc:Choice Requires="x14">
            <control shapeId="119816" r:id="rId11" name="Check Box 8">
              <controlPr locked="0" defaultSize="0" autoFill="0" autoLine="0" autoPict="0">
                <anchor moveWithCells="1">
                  <from>
                    <xdr:col>11</xdr:col>
                    <xdr:colOff>38100</xdr:colOff>
                    <xdr:row>24</xdr:row>
                    <xdr:rowOff>142875</xdr:rowOff>
                  </from>
                  <to>
                    <xdr:col>12</xdr:col>
                    <xdr:colOff>0</xdr:colOff>
                    <xdr:row>26</xdr:row>
                    <xdr:rowOff>28575</xdr:rowOff>
                  </to>
                </anchor>
              </controlPr>
            </control>
          </mc:Choice>
        </mc:AlternateContent>
        <mc:AlternateContent xmlns:mc="http://schemas.openxmlformats.org/markup-compatibility/2006">
          <mc:Choice Requires="x14">
            <control shapeId="119817" r:id="rId12" name="Check Box 9">
              <controlPr locked="0" defaultSize="0" autoFill="0" autoLine="0" autoPict="0">
                <anchor moveWithCells="1">
                  <from>
                    <xdr:col>1</xdr:col>
                    <xdr:colOff>47625</xdr:colOff>
                    <xdr:row>42</xdr:row>
                    <xdr:rowOff>9525</xdr:rowOff>
                  </from>
                  <to>
                    <xdr:col>2</xdr:col>
                    <xdr:colOff>9525</xdr:colOff>
                    <xdr:row>43</xdr:row>
                    <xdr:rowOff>66675</xdr:rowOff>
                  </to>
                </anchor>
              </controlPr>
            </control>
          </mc:Choice>
        </mc:AlternateContent>
        <mc:AlternateContent xmlns:mc="http://schemas.openxmlformats.org/markup-compatibility/2006">
          <mc:Choice Requires="x14">
            <control shapeId="119818" r:id="rId13" name="Check Box 10">
              <controlPr locked="0" defaultSize="0" autoFill="0" autoLine="0" autoPict="0">
                <anchor moveWithCells="1">
                  <from>
                    <xdr:col>1</xdr:col>
                    <xdr:colOff>38100</xdr:colOff>
                    <xdr:row>32</xdr:row>
                    <xdr:rowOff>142875</xdr:rowOff>
                  </from>
                  <to>
                    <xdr:col>2</xdr:col>
                    <xdr:colOff>0</xdr:colOff>
                    <xdr:row>34</xdr:row>
                    <xdr:rowOff>28575</xdr:rowOff>
                  </to>
                </anchor>
              </controlPr>
            </control>
          </mc:Choice>
        </mc:AlternateContent>
        <mc:AlternateContent xmlns:mc="http://schemas.openxmlformats.org/markup-compatibility/2006">
          <mc:Choice Requires="x14">
            <control shapeId="119819" r:id="rId14" name="Check Box 11">
              <controlPr locked="0" defaultSize="0" autoFill="0" autoLine="0" autoPict="0">
                <anchor moveWithCells="1">
                  <from>
                    <xdr:col>1</xdr:col>
                    <xdr:colOff>38100</xdr:colOff>
                    <xdr:row>32</xdr:row>
                    <xdr:rowOff>0</xdr:rowOff>
                  </from>
                  <to>
                    <xdr:col>2</xdr:col>
                    <xdr:colOff>0</xdr:colOff>
                    <xdr:row>33</xdr:row>
                    <xdr:rowOff>47625</xdr:rowOff>
                  </to>
                </anchor>
              </controlPr>
            </control>
          </mc:Choice>
        </mc:AlternateContent>
        <mc:AlternateContent xmlns:mc="http://schemas.openxmlformats.org/markup-compatibility/2006">
          <mc:Choice Requires="x14">
            <control shapeId="119820" r:id="rId15" name="Check Box 12">
              <controlPr locked="0" defaultSize="0" autoFill="0" autoLine="0" autoPict="0">
                <anchor moveWithCells="1">
                  <from>
                    <xdr:col>1</xdr:col>
                    <xdr:colOff>314325</xdr:colOff>
                    <xdr:row>34</xdr:row>
                    <xdr:rowOff>152400</xdr:rowOff>
                  </from>
                  <to>
                    <xdr:col>8</xdr:col>
                    <xdr:colOff>190500</xdr:colOff>
                    <xdr:row>36</xdr:row>
                    <xdr:rowOff>38100</xdr:rowOff>
                  </to>
                </anchor>
              </controlPr>
            </control>
          </mc:Choice>
        </mc:AlternateContent>
        <mc:AlternateContent xmlns:mc="http://schemas.openxmlformats.org/markup-compatibility/2006">
          <mc:Choice Requires="x14">
            <control shapeId="119821" r:id="rId16" name="Check Box 13">
              <controlPr locked="0" defaultSize="0" autoFill="0" autoLine="0" autoPict="0">
                <anchor moveWithCells="1">
                  <from>
                    <xdr:col>7</xdr:col>
                    <xdr:colOff>38100</xdr:colOff>
                    <xdr:row>36</xdr:row>
                    <xdr:rowOff>152400</xdr:rowOff>
                  </from>
                  <to>
                    <xdr:col>11</xdr:col>
                    <xdr:colOff>9525</xdr:colOff>
                    <xdr:row>38</xdr:row>
                    <xdr:rowOff>38100</xdr:rowOff>
                  </to>
                </anchor>
              </controlPr>
            </control>
          </mc:Choice>
        </mc:AlternateContent>
        <mc:AlternateContent xmlns:mc="http://schemas.openxmlformats.org/markup-compatibility/2006">
          <mc:Choice Requires="x14">
            <control shapeId="119822" r:id="rId17" name="Check Box 14">
              <controlPr locked="0" defaultSize="0" autoFill="0" autoLine="0" autoPict="0">
                <anchor moveWithCells="1">
                  <from>
                    <xdr:col>11</xdr:col>
                    <xdr:colOff>38100</xdr:colOff>
                    <xdr:row>27</xdr:row>
                    <xdr:rowOff>142875</xdr:rowOff>
                  </from>
                  <to>
                    <xdr:col>12</xdr:col>
                    <xdr:colOff>0</xdr:colOff>
                    <xdr:row>29</xdr:row>
                    <xdr:rowOff>28575</xdr:rowOff>
                  </to>
                </anchor>
              </controlPr>
            </control>
          </mc:Choice>
        </mc:AlternateContent>
        <mc:AlternateContent xmlns:mc="http://schemas.openxmlformats.org/markup-compatibility/2006">
          <mc:Choice Requires="x14">
            <control shapeId="119823" r:id="rId18" name="Check Box 15">
              <controlPr locked="0" defaultSize="0" autoFill="0" autoLine="0" autoPict="0">
                <anchor moveWithCells="1">
                  <from>
                    <xdr:col>6</xdr:col>
                    <xdr:colOff>314325</xdr:colOff>
                    <xdr:row>7</xdr:row>
                    <xdr:rowOff>0</xdr:rowOff>
                  </from>
                  <to>
                    <xdr:col>8</xdr:col>
                    <xdr:colOff>85725</xdr:colOff>
                    <xdr:row>8</xdr:row>
                    <xdr:rowOff>47625</xdr:rowOff>
                  </to>
                </anchor>
              </controlPr>
            </control>
          </mc:Choice>
        </mc:AlternateContent>
        <mc:AlternateContent xmlns:mc="http://schemas.openxmlformats.org/markup-compatibility/2006">
          <mc:Choice Requires="x14">
            <control shapeId="119824" r:id="rId19" name="Check Box 16">
              <controlPr locked="0" defaultSize="0" autoFill="0" autoLine="0" autoPict="0">
                <anchor moveWithCells="1">
                  <from>
                    <xdr:col>8</xdr:col>
                    <xdr:colOff>85725</xdr:colOff>
                    <xdr:row>7</xdr:row>
                    <xdr:rowOff>0</xdr:rowOff>
                  </from>
                  <to>
                    <xdr:col>9</xdr:col>
                    <xdr:colOff>85725</xdr:colOff>
                    <xdr:row>8</xdr:row>
                    <xdr:rowOff>47625</xdr:rowOff>
                  </to>
                </anchor>
              </controlPr>
            </control>
          </mc:Choice>
        </mc:AlternateContent>
        <mc:AlternateContent xmlns:mc="http://schemas.openxmlformats.org/markup-compatibility/2006">
          <mc:Choice Requires="x14">
            <control shapeId="119825" r:id="rId20" name="Check Box 17">
              <controlPr locked="0" defaultSize="0" autoFill="0" autoLine="0" autoPict="0">
                <anchor moveWithCells="1">
                  <from>
                    <xdr:col>11</xdr:col>
                    <xdr:colOff>38100</xdr:colOff>
                    <xdr:row>28</xdr:row>
                    <xdr:rowOff>142875</xdr:rowOff>
                  </from>
                  <to>
                    <xdr:col>12</xdr:col>
                    <xdr:colOff>0</xdr:colOff>
                    <xdr:row>30</xdr:row>
                    <xdr:rowOff>28575</xdr:rowOff>
                  </to>
                </anchor>
              </controlPr>
            </control>
          </mc:Choice>
        </mc:AlternateContent>
        <mc:AlternateContent xmlns:mc="http://schemas.openxmlformats.org/markup-compatibility/2006">
          <mc:Choice Requires="x14">
            <control shapeId="119826" r:id="rId21" name="Check Box 18">
              <controlPr locked="0" defaultSize="0" autoFill="0" autoLine="0" autoPict="0">
                <anchor moveWithCells="1">
                  <from>
                    <xdr:col>4</xdr:col>
                    <xdr:colOff>276225</xdr:colOff>
                    <xdr:row>65</xdr:row>
                    <xdr:rowOff>0</xdr:rowOff>
                  </from>
                  <to>
                    <xdr:col>7</xdr:col>
                    <xdr:colOff>47625</xdr:colOff>
                    <xdr:row>66</xdr:row>
                    <xdr:rowOff>47625</xdr:rowOff>
                  </to>
                </anchor>
              </controlPr>
            </control>
          </mc:Choice>
        </mc:AlternateContent>
        <mc:AlternateContent xmlns:mc="http://schemas.openxmlformats.org/markup-compatibility/2006">
          <mc:Choice Requires="x14">
            <control shapeId="119827" r:id="rId22" name="Check Box 19">
              <controlPr locked="0" defaultSize="0" autoFill="0" autoLine="0" autoPict="0">
                <anchor moveWithCells="1">
                  <from>
                    <xdr:col>7</xdr:col>
                    <xdr:colOff>47625</xdr:colOff>
                    <xdr:row>65</xdr:row>
                    <xdr:rowOff>0</xdr:rowOff>
                  </from>
                  <to>
                    <xdr:col>9</xdr:col>
                    <xdr:colOff>152400</xdr:colOff>
                    <xdr:row>66</xdr:row>
                    <xdr:rowOff>47625</xdr:rowOff>
                  </to>
                </anchor>
              </controlPr>
            </control>
          </mc:Choice>
        </mc:AlternateContent>
        <mc:AlternateContent xmlns:mc="http://schemas.openxmlformats.org/markup-compatibility/2006">
          <mc:Choice Requires="x14">
            <control shapeId="119828" r:id="rId23" name="Check Box 20">
              <controlPr locked="0" defaultSize="0" autoFill="0" autoLine="0" autoPict="0">
                <anchor moveWithCells="1">
                  <from>
                    <xdr:col>9</xdr:col>
                    <xdr:colOff>161925</xdr:colOff>
                    <xdr:row>65</xdr:row>
                    <xdr:rowOff>0</xdr:rowOff>
                  </from>
                  <to>
                    <xdr:col>10</xdr:col>
                    <xdr:colOff>295275</xdr:colOff>
                    <xdr:row>66</xdr:row>
                    <xdr:rowOff>66675</xdr:rowOff>
                  </to>
                </anchor>
              </controlPr>
            </control>
          </mc:Choice>
        </mc:AlternateContent>
        <mc:AlternateContent xmlns:mc="http://schemas.openxmlformats.org/markup-compatibility/2006">
          <mc:Choice Requires="x14">
            <control shapeId="119829" r:id="rId24" name="Check Box 21">
              <controlPr locked="0" defaultSize="0" autoFill="0" autoLine="0" autoPict="0">
                <anchor moveWithCells="1">
                  <from>
                    <xdr:col>8</xdr:col>
                    <xdr:colOff>371475</xdr:colOff>
                    <xdr:row>54</xdr:row>
                    <xdr:rowOff>0</xdr:rowOff>
                  </from>
                  <to>
                    <xdr:col>10</xdr:col>
                    <xdr:colOff>85725</xdr:colOff>
                    <xdr:row>55</xdr:row>
                    <xdr:rowOff>47625</xdr:rowOff>
                  </to>
                </anchor>
              </controlPr>
            </control>
          </mc:Choice>
        </mc:AlternateContent>
        <mc:AlternateContent xmlns:mc="http://schemas.openxmlformats.org/markup-compatibility/2006">
          <mc:Choice Requires="x14">
            <control shapeId="119830" r:id="rId25" name="Check Box 22">
              <controlPr locked="0" defaultSize="0" autoFill="0" autoLine="0" autoPict="0">
                <anchor moveWithCells="1">
                  <from>
                    <xdr:col>10</xdr:col>
                    <xdr:colOff>0</xdr:colOff>
                    <xdr:row>54</xdr:row>
                    <xdr:rowOff>0</xdr:rowOff>
                  </from>
                  <to>
                    <xdr:col>10</xdr:col>
                    <xdr:colOff>419100</xdr:colOff>
                    <xdr:row>55</xdr:row>
                    <xdr:rowOff>47625</xdr:rowOff>
                  </to>
                </anchor>
              </controlPr>
            </control>
          </mc:Choice>
        </mc:AlternateContent>
        <mc:AlternateContent xmlns:mc="http://schemas.openxmlformats.org/markup-compatibility/2006">
          <mc:Choice Requires="x14">
            <control shapeId="119831" r:id="rId26" name="Check Box 23">
              <controlPr locked="0" defaultSize="0" autoFill="0" autoLine="0" autoPict="0">
                <anchor moveWithCells="1">
                  <from>
                    <xdr:col>10</xdr:col>
                    <xdr:colOff>352425</xdr:colOff>
                    <xdr:row>54</xdr:row>
                    <xdr:rowOff>0</xdr:rowOff>
                  </from>
                  <to>
                    <xdr:col>11</xdr:col>
                    <xdr:colOff>66675</xdr:colOff>
                    <xdr:row>55</xdr:row>
                    <xdr:rowOff>47625</xdr:rowOff>
                  </to>
                </anchor>
              </controlPr>
            </control>
          </mc:Choice>
        </mc:AlternateContent>
        <mc:AlternateContent xmlns:mc="http://schemas.openxmlformats.org/markup-compatibility/2006">
          <mc:Choice Requires="x14">
            <control shapeId="119832" r:id="rId27" name="Check Box 24">
              <controlPr locked="0" defaultSize="0" autoFill="0" autoLine="0" autoPict="0">
                <anchor moveWithCells="1" sizeWithCells="1">
                  <from>
                    <xdr:col>3</xdr:col>
                    <xdr:colOff>76200</xdr:colOff>
                    <xdr:row>44</xdr:row>
                    <xdr:rowOff>161925</xdr:rowOff>
                  </from>
                  <to>
                    <xdr:col>4</xdr:col>
                    <xdr:colOff>38100</xdr:colOff>
                    <xdr:row>46</xdr:row>
                    <xdr:rowOff>0</xdr:rowOff>
                  </to>
                </anchor>
              </controlPr>
            </control>
          </mc:Choice>
        </mc:AlternateContent>
        <mc:AlternateContent xmlns:mc="http://schemas.openxmlformats.org/markup-compatibility/2006">
          <mc:Choice Requires="x14">
            <control shapeId="119833" r:id="rId28" name="Check Box 25">
              <controlPr locked="0" defaultSize="0" autoFill="0" autoLine="0" autoPict="0">
                <anchor moveWithCells="1" sizeWithCells="1">
                  <from>
                    <xdr:col>3</xdr:col>
                    <xdr:colOff>314325</xdr:colOff>
                    <xdr:row>44</xdr:row>
                    <xdr:rowOff>161925</xdr:rowOff>
                  </from>
                  <to>
                    <xdr:col>4</xdr:col>
                    <xdr:colOff>276225</xdr:colOff>
                    <xdr:row>46</xdr:row>
                    <xdr:rowOff>0</xdr:rowOff>
                  </to>
                </anchor>
              </controlPr>
            </control>
          </mc:Choice>
        </mc:AlternateContent>
        <mc:AlternateContent xmlns:mc="http://schemas.openxmlformats.org/markup-compatibility/2006">
          <mc:Choice Requires="x14">
            <control shapeId="119834" r:id="rId29" name="Check Box 26">
              <controlPr locked="0" defaultSize="0" autoFill="0" autoLine="0" autoPict="0">
                <anchor moveWithCells="1" sizeWithCells="1">
                  <from>
                    <xdr:col>4</xdr:col>
                    <xdr:colOff>180975</xdr:colOff>
                    <xdr:row>44</xdr:row>
                    <xdr:rowOff>161925</xdr:rowOff>
                  </from>
                  <to>
                    <xdr:col>5</xdr:col>
                    <xdr:colOff>142875</xdr:colOff>
                    <xdr:row>46</xdr:row>
                    <xdr:rowOff>0</xdr:rowOff>
                  </to>
                </anchor>
              </controlPr>
            </control>
          </mc:Choice>
        </mc:AlternateContent>
        <mc:AlternateContent xmlns:mc="http://schemas.openxmlformats.org/markup-compatibility/2006">
          <mc:Choice Requires="x14">
            <control shapeId="119835" r:id="rId30" name="Check Box 27">
              <controlPr locked="0" defaultSize="0" autoFill="0" autoLine="0" autoPict="0">
                <anchor moveWithCells="1" sizeWithCells="1">
                  <from>
                    <xdr:col>5</xdr:col>
                    <xdr:colOff>47625</xdr:colOff>
                    <xdr:row>44</xdr:row>
                    <xdr:rowOff>161925</xdr:rowOff>
                  </from>
                  <to>
                    <xdr:col>6</xdr:col>
                    <xdr:colOff>9525</xdr:colOff>
                    <xdr:row>46</xdr:row>
                    <xdr:rowOff>0</xdr:rowOff>
                  </to>
                </anchor>
              </controlPr>
            </control>
          </mc:Choice>
        </mc:AlternateContent>
        <mc:AlternateContent xmlns:mc="http://schemas.openxmlformats.org/markup-compatibility/2006">
          <mc:Choice Requires="x14">
            <control shapeId="119836" r:id="rId31" name="Check Box 28">
              <controlPr locked="0" defaultSize="0" autoFill="0" autoLine="0" autoPict="0">
                <anchor moveWithCells="1" sizeWithCells="1">
                  <from>
                    <xdr:col>5</xdr:col>
                    <xdr:colOff>257175</xdr:colOff>
                    <xdr:row>44</xdr:row>
                    <xdr:rowOff>161925</xdr:rowOff>
                  </from>
                  <to>
                    <xdr:col>6</xdr:col>
                    <xdr:colOff>219075</xdr:colOff>
                    <xdr:row>46</xdr:row>
                    <xdr:rowOff>0</xdr:rowOff>
                  </to>
                </anchor>
              </controlPr>
            </control>
          </mc:Choice>
        </mc:AlternateContent>
        <mc:AlternateContent xmlns:mc="http://schemas.openxmlformats.org/markup-compatibility/2006">
          <mc:Choice Requires="x14">
            <control shapeId="119837" r:id="rId32" name="Check Box 29">
              <controlPr locked="0" defaultSize="0" autoFill="0" autoLine="0" autoPict="0">
                <anchor moveWithCells="1" sizeWithCells="1">
                  <from>
                    <xdr:col>6</xdr:col>
                    <xdr:colOff>114300</xdr:colOff>
                    <xdr:row>44</xdr:row>
                    <xdr:rowOff>161925</xdr:rowOff>
                  </from>
                  <to>
                    <xdr:col>7</xdr:col>
                    <xdr:colOff>66675</xdr:colOff>
                    <xdr:row>46</xdr:row>
                    <xdr:rowOff>0</xdr:rowOff>
                  </to>
                </anchor>
              </controlPr>
            </control>
          </mc:Choice>
        </mc:AlternateContent>
        <mc:AlternateContent xmlns:mc="http://schemas.openxmlformats.org/markup-compatibility/2006">
          <mc:Choice Requires="x14">
            <control shapeId="119838" r:id="rId33" name="Check Box 30">
              <controlPr locked="0" defaultSize="0" autoFill="0" autoLine="0" autoPict="0">
                <anchor moveWithCells="1" sizeWithCells="1">
                  <from>
                    <xdr:col>6</xdr:col>
                    <xdr:colOff>314325</xdr:colOff>
                    <xdr:row>44</xdr:row>
                    <xdr:rowOff>161925</xdr:rowOff>
                  </from>
                  <to>
                    <xdr:col>7</xdr:col>
                    <xdr:colOff>276225</xdr:colOff>
                    <xdr:row>46</xdr:row>
                    <xdr:rowOff>0</xdr:rowOff>
                  </to>
                </anchor>
              </controlPr>
            </control>
          </mc:Choice>
        </mc:AlternateContent>
        <mc:AlternateContent xmlns:mc="http://schemas.openxmlformats.org/markup-compatibility/2006">
          <mc:Choice Requires="x14">
            <control shapeId="119839" r:id="rId34" name="Check Box 31">
              <controlPr locked="0" defaultSize="0" autoFill="0" autoLine="0" autoPict="0">
                <anchor moveWithCells="1" sizeWithCells="1">
                  <from>
                    <xdr:col>7</xdr:col>
                    <xdr:colOff>161925</xdr:colOff>
                    <xdr:row>44</xdr:row>
                    <xdr:rowOff>161925</xdr:rowOff>
                  </from>
                  <to>
                    <xdr:col>8</xdr:col>
                    <xdr:colOff>123825</xdr:colOff>
                    <xdr:row>46</xdr:row>
                    <xdr:rowOff>0</xdr:rowOff>
                  </to>
                </anchor>
              </controlPr>
            </control>
          </mc:Choice>
        </mc:AlternateContent>
        <mc:AlternateContent xmlns:mc="http://schemas.openxmlformats.org/markup-compatibility/2006">
          <mc:Choice Requires="x14">
            <control shapeId="119840" r:id="rId35" name="Check Box 32">
              <controlPr locked="0" defaultSize="0" autoFill="0" autoLine="0" autoPict="0">
                <anchor moveWithCells="1" sizeWithCells="1">
                  <from>
                    <xdr:col>8</xdr:col>
                    <xdr:colOff>9525</xdr:colOff>
                    <xdr:row>44</xdr:row>
                    <xdr:rowOff>161925</xdr:rowOff>
                  </from>
                  <to>
                    <xdr:col>8</xdr:col>
                    <xdr:colOff>333375</xdr:colOff>
                    <xdr:row>46</xdr:row>
                    <xdr:rowOff>0</xdr:rowOff>
                  </to>
                </anchor>
              </controlPr>
            </control>
          </mc:Choice>
        </mc:AlternateContent>
        <mc:AlternateContent xmlns:mc="http://schemas.openxmlformats.org/markup-compatibility/2006">
          <mc:Choice Requires="x14">
            <control shapeId="119841" r:id="rId36" name="Check Box 33">
              <controlPr locked="0" defaultSize="0" autoFill="0" autoLine="0" autoPict="0">
                <anchor moveWithCells="1" sizeWithCells="1">
                  <from>
                    <xdr:col>8</xdr:col>
                    <xdr:colOff>219075</xdr:colOff>
                    <xdr:row>44</xdr:row>
                    <xdr:rowOff>161925</xdr:rowOff>
                  </from>
                  <to>
                    <xdr:col>9</xdr:col>
                    <xdr:colOff>123825</xdr:colOff>
                    <xdr:row>46</xdr:row>
                    <xdr:rowOff>0</xdr:rowOff>
                  </to>
                </anchor>
              </controlPr>
            </control>
          </mc:Choice>
        </mc:AlternateContent>
        <mc:AlternateContent xmlns:mc="http://schemas.openxmlformats.org/markup-compatibility/2006">
          <mc:Choice Requires="x14">
            <control shapeId="119842" r:id="rId37" name="Check Box 34">
              <controlPr locked="0" defaultSize="0" autoFill="0" autoLine="0" autoPict="0">
                <anchor moveWithCells="1" sizeWithCells="1">
                  <from>
                    <xdr:col>9</xdr:col>
                    <xdr:colOff>9525</xdr:colOff>
                    <xdr:row>44</xdr:row>
                    <xdr:rowOff>161925</xdr:rowOff>
                  </from>
                  <to>
                    <xdr:col>9</xdr:col>
                    <xdr:colOff>342900</xdr:colOff>
                    <xdr:row>46</xdr:row>
                    <xdr:rowOff>0</xdr:rowOff>
                  </to>
                </anchor>
              </controlPr>
            </control>
          </mc:Choice>
        </mc:AlternateContent>
        <mc:AlternateContent xmlns:mc="http://schemas.openxmlformats.org/markup-compatibility/2006">
          <mc:Choice Requires="x14">
            <control shapeId="119843" r:id="rId38" name="Check Box 35">
              <controlPr locked="0" defaultSize="0" autoFill="0" autoLine="0" autoPict="0">
                <anchor moveWithCells="1" sizeWithCells="1">
                  <from>
                    <xdr:col>9</xdr:col>
                    <xdr:colOff>228600</xdr:colOff>
                    <xdr:row>44</xdr:row>
                    <xdr:rowOff>161925</xdr:rowOff>
                  </from>
                  <to>
                    <xdr:col>10</xdr:col>
                    <xdr:colOff>190500</xdr:colOff>
                    <xdr:row>46</xdr:row>
                    <xdr:rowOff>0</xdr:rowOff>
                  </to>
                </anchor>
              </controlPr>
            </control>
          </mc:Choice>
        </mc:AlternateContent>
        <mc:AlternateContent xmlns:mc="http://schemas.openxmlformats.org/markup-compatibility/2006">
          <mc:Choice Requires="x14">
            <control shapeId="119844" r:id="rId39" name="Check Box 36">
              <controlPr locked="0" defaultSize="0" autoFill="0" autoLine="0" autoPict="0">
                <anchor moveWithCells="1" sizeWithCells="1">
                  <from>
                    <xdr:col>10</xdr:col>
                    <xdr:colOff>85725</xdr:colOff>
                    <xdr:row>44</xdr:row>
                    <xdr:rowOff>161925</xdr:rowOff>
                  </from>
                  <to>
                    <xdr:col>10</xdr:col>
                    <xdr:colOff>409575</xdr:colOff>
                    <xdr:row>46</xdr:row>
                    <xdr:rowOff>0</xdr:rowOff>
                  </to>
                </anchor>
              </controlPr>
            </control>
          </mc:Choice>
        </mc:AlternateContent>
        <mc:AlternateContent xmlns:mc="http://schemas.openxmlformats.org/markup-compatibility/2006">
          <mc:Choice Requires="x14">
            <control shapeId="119845" r:id="rId40" name="Check Box 37">
              <controlPr locked="0" defaultSize="0" autoFill="0" autoLine="0" autoPict="0">
                <anchor moveWithCells="1" sizeWithCells="1">
                  <from>
                    <xdr:col>10</xdr:col>
                    <xdr:colOff>295275</xdr:colOff>
                    <xdr:row>44</xdr:row>
                    <xdr:rowOff>161925</xdr:rowOff>
                  </from>
                  <to>
                    <xdr:col>10</xdr:col>
                    <xdr:colOff>609600</xdr:colOff>
                    <xdr:row>46</xdr:row>
                    <xdr:rowOff>0</xdr:rowOff>
                  </to>
                </anchor>
              </controlPr>
            </control>
          </mc:Choice>
        </mc:AlternateContent>
        <mc:AlternateContent xmlns:mc="http://schemas.openxmlformats.org/markup-compatibility/2006">
          <mc:Choice Requires="x14">
            <control shapeId="119846" r:id="rId41" name="Check Box 38">
              <controlPr locked="0" defaultSize="0" autoFill="0" autoLine="0" autoPict="0">
                <anchor moveWithCells="1" sizeWithCells="1">
                  <from>
                    <xdr:col>10</xdr:col>
                    <xdr:colOff>495300</xdr:colOff>
                    <xdr:row>44</xdr:row>
                    <xdr:rowOff>161925</xdr:rowOff>
                  </from>
                  <to>
                    <xdr:col>11</xdr:col>
                    <xdr:colOff>123825</xdr:colOff>
                    <xdr:row>46</xdr:row>
                    <xdr:rowOff>0</xdr:rowOff>
                  </to>
                </anchor>
              </controlPr>
            </control>
          </mc:Choice>
        </mc:AlternateContent>
        <mc:AlternateContent xmlns:mc="http://schemas.openxmlformats.org/markup-compatibility/2006">
          <mc:Choice Requires="x14">
            <control shapeId="119847" r:id="rId42" name="Check Box 39">
              <controlPr locked="0" defaultSize="0" autoFill="0" autoLine="0" autoPict="0">
                <anchor moveWithCells="1" sizeWithCells="1">
                  <from>
                    <xdr:col>11</xdr:col>
                    <xdr:colOff>28575</xdr:colOff>
                    <xdr:row>44</xdr:row>
                    <xdr:rowOff>161925</xdr:rowOff>
                  </from>
                  <to>
                    <xdr:col>11</xdr:col>
                    <xdr:colOff>352425</xdr:colOff>
                    <xdr:row>46</xdr:row>
                    <xdr:rowOff>0</xdr:rowOff>
                  </to>
                </anchor>
              </controlPr>
            </control>
          </mc:Choice>
        </mc:AlternateContent>
        <mc:AlternateContent xmlns:mc="http://schemas.openxmlformats.org/markup-compatibility/2006">
          <mc:Choice Requires="x14">
            <control shapeId="119848" r:id="rId43" name="Check Box 40">
              <controlPr locked="0" defaultSize="0" autoFill="0" autoLine="0" autoPict="0">
                <anchor moveWithCells="1" sizeWithCells="1">
                  <from>
                    <xdr:col>11</xdr:col>
                    <xdr:colOff>238125</xdr:colOff>
                    <xdr:row>44</xdr:row>
                    <xdr:rowOff>161925</xdr:rowOff>
                  </from>
                  <to>
                    <xdr:col>12</xdr:col>
                    <xdr:colOff>200025</xdr:colOff>
                    <xdr:row>46</xdr:row>
                    <xdr:rowOff>0</xdr:rowOff>
                  </to>
                </anchor>
              </controlPr>
            </control>
          </mc:Choice>
        </mc:AlternateContent>
        <mc:AlternateContent xmlns:mc="http://schemas.openxmlformats.org/markup-compatibility/2006">
          <mc:Choice Requires="x14">
            <control shapeId="119849" r:id="rId44" name="Check Box 41">
              <controlPr locked="0" defaultSize="0" autoFill="0" autoLine="0" autoPict="0">
                <anchor moveWithCells="1">
                  <from>
                    <xdr:col>1</xdr:col>
                    <xdr:colOff>314325</xdr:colOff>
                    <xdr:row>35</xdr:row>
                    <xdr:rowOff>152400</xdr:rowOff>
                  </from>
                  <to>
                    <xdr:col>6</xdr:col>
                    <xdr:colOff>161925</xdr:colOff>
                    <xdr:row>37</xdr:row>
                    <xdr:rowOff>38100</xdr:rowOff>
                  </to>
                </anchor>
              </controlPr>
            </control>
          </mc:Choice>
        </mc:AlternateContent>
        <mc:AlternateContent xmlns:mc="http://schemas.openxmlformats.org/markup-compatibility/2006">
          <mc:Choice Requires="x14">
            <control shapeId="119850" r:id="rId45" name="Check Box 42">
              <controlPr locked="0" defaultSize="0" autoFill="0" autoLine="0" autoPict="0">
                <anchor moveWithCells="1">
                  <from>
                    <xdr:col>7</xdr:col>
                    <xdr:colOff>38100</xdr:colOff>
                    <xdr:row>38</xdr:row>
                    <xdr:rowOff>123825</xdr:rowOff>
                  </from>
                  <to>
                    <xdr:col>11</xdr:col>
                    <xdr:colOff>9525</xdr:colOff>
                    <xdr:row>40</xdr:row>
                    <xdr:rowOff>28575</xdr:rowOff>
                  </to>
                </anchor>
              </controlPr>
            </control>
          </mc:Choice>
        </mc:AlternateContent>
        <mc:AlternateContent xmlns:mc="http://schemas.openxmlformats.org/markup-compatibility/2006">
          <mc:Choice Requires="x14">
            <control shapeId="119851" r:id="rId46" name="Check Box 43">
              <controlPr locked="0" defaultSize="0" autoFill="0" autoLine="0" autoPict="0">
                <anchor moveWithCells="1">
                  <from>
                    <xdr:col>7</xdr:col>
                    <xdr:colOff>38100</xdr:colOff>
                    <xdr:row>37</xdr:row>
                    <xdr:rowOff>142875</xdr:rowOff>
                  </from>
                  <to>
                    <xdr:col>11</xdr:col>
                    <xdr:colOff>276225</xdr:colOff>
                    <xdr:row>39</xdr:row>
                    <xdr:rowOff>28575</xdr:rowOff>
                  </to>
                </anchor>
              </controlPr>
            </control>
          </mc:Choice>
        </mc:AlternateContent>
        <mc:AlternateContent xmlns:mc="http://schemas.openxmlformats.org/markup-compatibility/2006">
          <mc:Choice Requires="x14">
            <control shapeId="119852" r:id="rId47" name="Check Box 44">
              <controlPr locked="0" defaultSize="0" autoFill="0" autoLine="0" autoPict="0">
                <anchor moveWithCells="1">
                  <from>
                    <xdr:col>11</xdr:col>
                    <xdr:colOff>276225</xdr:colOff>
                    <xdr:row>36</xdr:row>
                    <xdr:rowOff>152400</xdr:rowOff>
                  </from>
                  <to>
                    <xdr:col>17</xdr:col>
                    <xdr:colOff>161925</xdr:colOff>
                    <xdr:row>38</xdr:row>
                    <xdr:rowOff>38100</xdr:rowOff>
                  </to>
                </anchor>
              </controlPr>
            </control>
          </mc:Choice>
        </mc:AlternateContent>
        <mc:AlternateContent xmlns:mc="http://schemas.openxmlformats.org/markup-compatibility/2006">
          <mc:Choice Requires="x14">
            <control shapeId="119853" r:id="rId48" name="Check Box 45">
              <controlPr locked="0" defaultSize="0" autoFill="0" autoLine="0" autoPict="0">
                <anchor moveWithCells="1">
                  <from>
                    <xdr:col>1</xdr:col>
                    <xdr:colOff>314325</xdr:colOff>
                    <xdr:row>36</xdr:row>
                    <xdr:rowOff>152400</xdr:rowOff>
                  </from>
                  <to>
                    <xdr:col>6</xdr:col>
                    <xdr:colOff>200025</xdr:colOff>
                    <xdr:row>38</xdr:row>
                    <xdr:rowOff>38100</xdr:rowOff>
                  </to>
                </anchor>
              </controlPr>
            </control>
          </mc:Choice>
        </mc:AlternateContent>
        <mc:AlternateContent xmlns:mc="http://schemas.openxmlformats.org/markup-compatibility/2006">
          <mc:Choice Requires="x14">
            <control shapeId="119854" r:id="rId49" name="Check Box 46">
              <controlPr locked="0" defaultSize="0" autoFill="0" autoLine="0" autoPict="0">
                <anchor moveWithCells="1">
                  <from>
                    <xdr:col>11</xdr:col>
                    <xdr:colOff>276225</xdr:colOff>
                    <xdr:row>37</xdr:row>
                    <xdr:rowOff>142875</xdr:rowOff>
                  </from>
                  <to>
                    <xdr:col>17</xdr:col>
                    <xdr:colOff>495300</xdr:colOff>
                    <xdr:row>39</xdr:row>
                    <xdr:rowOff>28575</xdr:rowOff>
                  </to>
                </anchor>
              </controlPr>
            </control>
          </mc:Choice>
        </mc:AlternateContent>
        <mc:AlternateContent xmlns:mc="http://schemas.openxmlformats.org/markup-compatibility/2006">
          <mc:Choice Requires="x14">
            <control shapeId="119855" r:id="rId50" name="Check Box 47">
              <controlPr locked="0" defaultSize="0" autoFill="0" autoLine="0" autoPict="0">
                <anchor moveWithCells="1">
                  <from>
                    <xdr:col>11</xdr:col>
                    <xdr:colOff>276225</xdr:colOff>
                    <xdr:row>38</xdr:row>
                    <xdr:rowOff>123825</xdr:rowOff>
                  </from>
                  <to>
                    <xdr:col>14</xdr:col>
                    <xdr:colOff>85725</xdr:colOff>
                    <xdr:row>40</xdr:row>
                    <xdr:rowOff>28575</xdr:rowOff>
                  </to>
                </anchor>
              </controlPr>
            </control>
          </mc:Choice>
        </mc:AlternateContent>
        <mc:AlternateContent xmlns:mc="http://schemas.openxmlformats.org/markup-compatibility/2006">
          <mc:Choice Requires="x14">
            <control shapeId="119856" r:id="rId51" name="Check Box 48">
              <controlPr locked="0" defaultSize="0" autoFill="0" autoLine="0" autoPict="0">
                <anchor moveWithCells="1">
                  <from>
                    <xdr:col>1</xdr:col>
                    <xdr:colOff>47625</xdr:colOff>
                    <xdr:row>46</xdr:row>
                    <xdr:rowOff>0</xdr:rowOff>
                  </from>
                  <to>
                    <xdr:col>2</xdr:col>
                    <xdr:colOff>0</xdr:colOff>
                    <xdr:row>47</xdr:row>
                    <xdr:rowOff>47625</xdr:rowOff>
                  </to>
                </anchor>
              </controlPr>
            </control>
          </mc:Choice>
        </mc:AlternateContent>
        <mc:AlternateContent xmlns:mc="http://schemas.openxmlformats.org/markup-compatibility/2006">
          <mc:Choice Requires="x14">
            <control shapeId="119857" r:id="rId52" name="Check Box 49">
              <controlPr locked="0" defaultSize="0" autoFill="0" autoLine="0" autoPict="0">
                <anchor moveWithCells="1">
                  <from>
                    <xdr:col>2</xdr:col>
                    <xdr:colOff>0</xdr:colOff>
                    <xdr:row>48</xdr:row>
                    <xdr:rowOff>0</xdr:rowOff>
                  </from>
                  <to>
                    <xdr:col>8</xdr:col>
                    <xdr:colOff>219075</xdr:colOff>
                    <xdr:row>49</xdr:row>
                    <xdr:rowOff>66675</xdr:rowOff>
                  </to>
                </anchor>
              </controlPr>
            </control>
          </mc:Choice>
        </mc:AlternateContent>
        <mc:AlternateContent xmlns:mc="http://schemas.openxmlformats.org/markup-compatibility/2006">
          <mc:Choice Requires="x14">
            <control shapeId="119858" r:id="rId53" name="Check Box 50">
              <controlPr locked="0" defaultSize="0" autoFill="0" autoLine="0" autoPict="0">
                <anchor moveWithCells="1">
                  <from>
                    <xdr:col>2</xdr:col>
                    <xdr:colOff>0</xdr:colOff>
                    <xdr:row>48</xdr:row>
                    <xdr:rowOff>161925</xdr:rowOff>
                  </from>
                  <to>
                    <xdr:col>6</xdr:col>
                    <xdr:colOff>200025</xdr:colOff>
                    <xdr:row>50</xdr:row>
                    <xdr:rowOff>47625</xdr:rowOff>
                  </to>
                </anchor>
              </controlPr>
            </control>
          </mc:Choice>
        </mc:AlternateContent>
        <mc:AlternateContent xmlns:mc="http://schemas.openxmlformats.org/markup-compatibility/2006">
          <mc:Choice Requires="x14">
            <control shapeId="119859" r:id="rId54" name="Check Box 51">
              <controlPr locked="0" defaultSize="0" autoFill="0" autoLine="0" autoPict="0">
                <anchor moveWithCells="1">
                  <from>
                    <xdr:col>9</xdr:col>
                    <xdr:colOff>47625</xdr:colOff>
                    <xdr:row>51</xdr:row>
                    <xdr:rowOff>142875</xdr:rowOff>
                  </from>
                  <to>
                    <xdr:col>10</xdr:col>
                    <xdr:colOff>190500</xdr:colOff>
                    <xdr:row>53</xdr:row>
                    <xdr:rowOff>28575</xdr:rowOff>
                  </to>
                </anchor>
              </controlPr>
            </control>
          </mc:Choice>
        </mc:AlternateContent>
        <mc:AlternateContent xmlns:mc="http://schemas.openxmlformats.org/markup-compatibility/2006">
          <mc:Choice Requires="x14">
            <control shapeId="119860" r:id="rId55" name="Check Box 52">
              <controlPr locked="0" defaultSize="0" autoFill="0" autoLine="0" autoPict="0">
                <anchor moveWithCells="1">
                  <from>
                    <xdr:col>10</xdr:col>
                    <xdr:colOff>76200</xdr:colOff>
                    <xdr:row>51</xdr:row>
                    <xdr:rowOff>142875</xdr:rowOff>
                  </from>
                  <to>
                    <xdr:col>10</xdr:col>
                    <xdr:colOff>495300</xdr:colOff>
                    <xdr:row>53</xdr:row>
                    <xdr:rowOff>28575</xdr:rowOff>
                  </to>
                </anchor>
              </controlPr>
            </control>
          </mc:Choice>
        </mc:AlternateContent>
        <mc:AlternateContent xmlns:mc="http://schemas.openxmlformats.org/markup-compatibility/2006">
          <mc:Choice Requires="x14">
            <control shapeId="119861" r:id="rId56" name="Check Box 53">
              <controlPr locked="0" defaultSize="0" autoFill="0" autoLine="0" autoPict="0">
                <anchor moveWithCells="1">
                  <from>
                    <xdr:col>10</xdr:col>
                    <xdr:colOff>466725</xdr:colOff>
                    <xdr:row>51</xdr:row>
                    <xdr:rowOff>142875</xdr:rowOff>
                  </from>
                  <to>
                    <xdr:col>11</xdr:col>
                    <xdr:colOff>190500</xdr:colOff>
                    <xdr:row>53</xdr:row>
                    <xdr:rowOff>28575</xdr:rowOff>
                  </to>
                </anchor>
              </controlPr>
            </control>
          </mc:Choice>
        </mc:AlternateContent>
        <mc:AlternateContent xmlns:mc="http://schemas.openxmlformats.org/markup-compatibility/2006">
          <mc:Choice Requires="x14">
            <control shapeId="119862" r:id="rId57" name="Check Box 54">
              <controlPr locked="0" defaultSize="0" autoFill="0" autoLine="0" autoPict="0">
                <anchor moveWithCells="1">
                  <from>
                    <xdr:col>1</xdr:col>
                    <xdr:colOff>314325</xdr:colOff>
                    <xdr:row>37</xdr:row>
                    <xdr:rowOff>142875</xdr:rowOff>
                  </from>
                  <to>
                    <xdr:col>5</xdr:col>
                    <xdr:colOff>9525</xdr:colOff>
                    <xdr:row>39</xdr:row>
                    <xdr:rowOff>28575</xdr:rowOff>
                  </to>
                </anchor>
              </controlPr>
            </control>
          </mc:Choice>
        </mc:AlternateContent>
        <mc:AlternateContent xmlns:mc="http://schemas.openxmlformats.org/markup-compatibility/2006">
          <mc:Choice Requires="x14">
            <control shapeId="119863" r:id="rId58" name="Check Box 55">
              <controlPr locked="0" defaultSize="0" autoFill="0" autoLine="0" autoPict="0">
                <anchor moveWithCells="1">
                  <from>
                    <xdr:col>1</xdr:col>
                    <xdr:colOff>314325</xdr:colOff>
                    <xdr:row>38</xdr:row>
                    <xdr:rowOff>142875</xdr:rowOff>
                  </from>
                  <to>
                    <xdr:col>7</xdr:col>
                    <xdr:colOff>85725</xdr:colOff>
                    <xdr:row>40</xdr:row>
                    <xdr:rowOff>28575</xdr:rowOff>
                  </to>
                </anchor>
              </controlPr>
            </control>
          </mc:Choice>
        </mc:AlternateContent>
        <mc:AlternateContent xmlns:mc="http://schemas.openxmlformats.org/markup-compatibility/2006">
          <mc:Choice Requires="x14">
            <control shapeId="119864" r:id="rId59" name="Check Box 56">
              <controlPr locked="0" defaultSize="0" autoFill="0" autoLine="0" autoPict="0">
                <anchor moveWithCells="1">
                  <from>
                    <xdr:col>1</xdr:col>
                    <xdr:colOff>314325</xdr:colOff>
                    <xdr:row>39</xdr:row>
                    <xdr:rowOff>142875</xdr:rowOff>
                  </from>
                  <to>
                    <xdr:col>8</xdr:col>
                    <xdr:colOff>371475</xdr:colOff>
                    <xdr:row>41</xdr:row>
                    <xdr:rowOff>28575</xdr:rowOff>
                  </to>
                </anchor>
              </controlPr>
            </control>
          </mc:Choice>
        </mc:AlternateContent>
        <mc:AlternateContent xmlns:mc="http://schemas.openxmlformats.org/markup-compatibility/2006">
          <mc:Choice Requires="x14">
            <control shapeId="119865" r:id="rId60" name="Check Box 57">
              <controlPr locked="0" defaultSize="0" autoFill="0" autoLine="0" autoPict="0">
                <anchor moveWithCells="1">
                  <from>
                    <xdr:col>2</xdr:col>
                    <xdr:colOff>0</xdr:colOff>
                    <xdr:row>49</xdr:row>
                    <xdr:rowOff>142875</xdr:rowOff>
                  </from>
                  <to>
                    <xdr:col>6</xdr:col>
                    <xdr:colOff>238125</xdr:colOff>
                    <xdr:row>51</xdr:row>
                    <xdr:rowOff>28575</xdr:rowOff>
                  </to>
                </anchor>
              </controlPr>
            </control>
          </mc:Choice>
        </mc:AlternateContent>
        <mc:AlternateContent xmlns:mc="http://schemas.openxmlformats.org/markup-compatibility/2006">
          <mc:Choice Requires="x14">
            <control shapeId="119866" r:id="rId61" name="Check Box 58">
              <controlPr locked="0" defaultSize="0" autoFill="0" autoLine="0" autoPict="0">
                <anchor moveWithCells="1">
                  <from>
                    <xdr:col>2</xdr:col>
                    <xdr:colOff>0</xdr:colOff>
                    <xdr:row>50</xdr:row>
                    <xdr:rowOff>123825</xdr:rowOff>
                  </from>
                  <to>
                    <xdr:col>5</xdr:col>
                    <xdr:colOff>47625</xdr:colOff>
                    <xdr:row>52</xdr:row>
                    <xdr:rowOff>28575</xdr:rowOff>
                  </to>
                </anchor>
              </controlPr>
            </control>
          </mc:Choice>
        </mc:AlternateContent>
        <mc:AlternateContent xmlns:mc="http://schemas.openxmlformats.org/markup-compatibility/2006">
          <mc:Choice Requires="x14">
            <control shapeId="119867" r:id="rId62" name="Check Box 59">
              <controlPr locked="0" defaultSize="0" autoFill="0" autoLine="0" autoPict="0">
                <anchor moveWithCells="1" sizeWithCells="1">
                  <from>
                    <xdr:col>1</xdr:col>
                    <xdr:colOff>47625</xdr:colOff>
                    <xdr:row>21</xdr:row>
                    <xdr:rowOff>152400</xdr:rowOff>
                  </from>
                  <to>
                    <xdr:col>2</xdr:col>
                    <xdr:colOff>180975</xdr:colOff>
                    <xdr:row>23</xdr:row>
                    <xdr:rowOff>38100</xdr:rowOff>
                  </to>
                </anchor>
              </controlPr>
            </control>
          </mc:Choice>
        </mc:AlternateContent>
        <mc:AlternateContent xmlns:mc="http://schemas.openxmlformats.org/markup-compatibility/2006">
          <mc:Choice Requires="x14">
            <control shapeId="119868" r:id="rId63" name="Check Box 60">
              <controlPr locked="0" defaultSize="0" autoFill="0" autoLine="0" autoPict="0">
                <anchor moveWithCells="1" sizeWithCells="1">
                  <from>
                    <xdr:col>2</xdr:col>
                    <xdr:colOff>152400</xdr:colOff>
                    <xdr:row>21</xdr:row>
                    <xdr:rowOff>152400</xdr:rowOff>
                  </from>
                  <to>
                    <xdr:col>3</xdr:col>
                    <xdr:colOff>209550</xdr:colOff>
                    <xdr:row>23</xdr:row>
                    <xdr:rowOff>38100</xdr:rowOff>
                  </to>
                </anchor>
              </controlPr>
            </control>
          </mc:Choice>
        </mc:AlternateContent>
        <mc:AlternateContent xmlns:mc="http://schemas.openxmlformats.org/markup-compatibility/2006">
          <mc:Choice Requires="x14">
            <control shapeId="119869" r:id="rId64" name="Check Box 61">
              <controlPr locked="0" defaultSize="0" autoFill="0" autoLine="0" autoPict="0">
                <anchor moveWithCells="1" sizeWithCells="1">
                  <from>
                    <xdr:col>12</xdr:col>
                    <xdr:colOff>76200</xdr:colOff>
                    <xdr:row>44</xdr:row>
                    <xdr:rowOff>161925</xdr:rowOff>
                  </from>
                  <to>
                    <xdr:col>13</xdr:col>
                    <xdr:colOff>38100</xdr:colOff>
                    <xdr:row>46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11"/>
    <pageSetUpPr fitToPage="1"/>
  </sheetPr>
  <dimension ref="A1:V45"/>
  <sheetViews>
    <sheetView zoomScaleNormal="100" workbookViewId="0">
      <pane ySplit="12" topLeftCell="A25" activePane="bottomLeft" state="frozen"/>
      <selection activeCell="O21" sqref="O21"/>
      <selection pane="bottomLeft" activeCell="O21" sqref="O21"/>
    </sheetView>
  </sheetViews>
  <sheetFormatPr defaultColWidth="9.140625" defaultRowHeight="12.75"/>
  <cols>
    <col min="1" max="1" width="4.5703125" style="1" customWidth="1"/>
    <col min="2" max="2" width="13.7109375" style="1" customWidth="1"/>
    <col min="3" max="3" width="8" style="1" customWidth="1"/>
    <col min="4" max="5" width="8.7109375" style="6" customWidth="1"/>
    <col min="6" max="6" width="12.5703125" style="1" customWidth="1"/>
    <col min="7" max="7" width="6.7109375" style="1" customWidth="1"/>
    <col min="8" max="8" width="12.7109375" style="11" customWidth="1"/>
    <col min="9" max="10" width="12.7109375" style="1" customWidth="1"/>
    <col min="11" max="12" width="3.7109375" style="1" customWidth="1"/>
    <col min="13" max="16384" width="9.140625" style="1"/>
  </cols>
  <sheetData>
    <row r="1" spans="1:15" ht="18" customHeight="1">
      <c r="A1" s="657" t="s">
        <v>784</v>
      </c>
      <c r="B1" s="658"/>
      <c r="C1" s="658"/>
      <c r="D1" s="658"/>
      <c r="E1" s="658"/>
      <c r="F1" s="658"/>
      <c r="G1" s="658"/>
      <c r="H1" s="658"/>
      <c r="I1" s="658"/>
      <c r="J1" s="658"/>
      <c r="K1" s="658"/>
      <c r="L1" s="659"/>
    </row>
    <row r="2" spans="1:15" ht="64.5" customHeight="1" thickBot="1">
      <c r="A2" s="660"/>
      <c r="B2" s="661"/>
      <c r="C2" s="661"/>
      <c r="D2" s="661"/>
      <c r="E2" s="661"/>
      <c r="F2" s="661"/>
      <c r="G2" s="661"/>
      <c r="H2" s="661"/>
      <c r="I2" s="661"/>
      <c r="J2" s="661"/>
      <c r="K2" s="661"/>
      <c r="L2" s="662"/>
    </row>
    <row r="3" spans="1:15" ht="12" customHeight="1">
      <c r="A3" s="76" t="s">
        <v>138</v>
      </c>
      <c r="B3" s="77"/>
      <c r="C3" s="809" t="str">
        <f>INTRO!D36</f>
        <v>SUPPLIER COMPANY</v>
      </c>
      <c r="D3" s="809"/>
      <c r="E3" s="809"/>
      <c r="F3" s="809"/>
      <c r="G3" s="809"/>
      <c r="H3" s="49" t="s">
        <v>18</v>
      </c>
      <c r="I3" s="817" t="str">
        <f>INTRO!$D$29</f>
        <v>P-NUMBER</v>
      </c>
      <c r="J3" s="817"/>
      <c r="K3" s="817"/>
      <c r="L3" s="818"/>
      <c r="N3" s="12"/>
      <c r="O3" s="3"/>
    </row>
    <row r="4" spans="1:15" ht="13.5" thickBot="1">
      <c r="A4" s="79" t="s">
        <v>152</v>
      </c>
      <c r="B4" s="78"/>
      <c r="C4" s="810" t="str">
        <f>INTRO!D37</f>
        <v>NUMBER</v>
      </c>
      <c r="D4" s="810"/>
      <c r="E4" s="810"/>
      <c r="F4" s="810"/>
      <c r="G4" s="810"/>
      <c r="H4" s="74" t="s">
        <v>140</v>
      </c>
      <c r="I4" s="815" t="str">
        <f>INTRO!$D$28</f>
        <v>NAME</v>
      </c>
      <c r="J4" s="815"/>
      <c r="K4" s="815"/>
      <c r="L4" s="816"/>
      <c r="N4" s="4"/>
      <c r="O4" s="4"/>
    </row>
    <row r="5" spans="1:15" s="4" customFormat="1" ht="13.5" thickBot="1">
      <c r="A5" s="75"/>
      <c r="B5" s="3"/>
      <c r="C5" s="82"/>
      <c r="D5" s="82"/>
      <c r="E5" s="82"/>
      <c r="F5" s="82"/>
      <c r="G5" s="82"/>
      <c r="H5" s="75"/>
      <c r="I5" s="83"/>
      <c r="J5" s="83"/>
      <c r="K5" s="83"/>
      <c r="L5" s="83"/>
    </row>
    <row r="6" spans="1:15" ht="12.75" customHeight="1">
      <c r="A6" s="828" t="s">
        <v>139</v>
      </c>
      <c r="B6" s="829"/>
      <c r="C6" s="829"/>
      <c r="D6" s="819"/>
      <c r="E6" s="819"/>
      <c r="F6" s="819"/>
      <c r="G6" s="820"/>
      <c r="H6" s="829" t="s">
        <v>137</v>
      </c>
      <c r="I6" s="829"/>
      <c r="J6" s="829"/>
      <c r="K6" s="826" t="str">
        <f>INTRO!D31</f>
        <v>ECN</v>
      </c>
      <c r="L6" s="827"/>
      <c r="N6" s="12"/>
      <c r="O6" s="3"/>
    </row>
    <row r="7" spans="1:15" ht="13.5" thickBot="1">
      <c r="A7" s="178" t="s">
        <v>17</v>
      </c>
      <c r="B7" s="822"/>
      <c r="C7" s="835"/>
      <c r="D7" s="835"/>
      <c r="E7" s="835"/>
      <c r="F7" s="835"/>
      <c r="G7" s="836"/>
      <c r="H7" s="821" t="s">
        <v>141</v>
      </c>
      <c r="I7" s="821"/>
      <c r="J7" s="821"/>
      <c r="K7" s="822"/>
      <c r="L7" s="823"/>
    </row>
    <row r="8" spans="1:15" ht="5.25" customHeight="1">
      <c r="A8" s="497"/>
      <c r="B8" s="104"/>
      <c r="C8" s="104"/>
      <c r="D8" s="104"/>
      <c r="E8" s="104"/>
      <c r="F8" s="104"/>
      <c r="G8" s="104"/>
      <c r="H8" s="73"/>
      <c r="I8" s="73"/>
      <c r="J8" s="73"/>
      <c r="K8" s="104"/>
      <c r="L8" s="104"/>
    </row>
    <row r="9" spans="1:15">
      <c r="A9" s="12" t="s">
        <v>794</v>
      </c>
      <c r="B9" s="104"/>
      <c r="C9" s="104"/>
      <c r="D9" s="104"/>
      <c r="E9" s="104"/>
      <c r="F9" s="104"/>
      <c r="G9" s="104"/>
      <c r="H9" s="73"/>
      <c r="I9" s="73"/>
      <c r="J9" s="73"/>
      <c r="K9" s="104"/>
      <c r="L9" s="104"/>
    </row>
    <row r="10" spans="1:15" ht="6.75" customHeight="1" thickBot="1">
      <c r="A10" s="75"/>
      <c r="B10" s="75"/>
      <c r="C10" s="75"/>
      <c r="D10" s="104"/>
      <c r="E10" s="104"/>
      <c r="F10" s="75"/>
      <c r="G10" s="75"/>
      <c r="H10" s="75"/>
      <c r="I10" s="75"/>
      <c r="J10" s="75"/>
      <c r="K10" s="75"/>
      <c r="L10" s="4"/>
    </row>
    <row r="11" spans="1:15" ht="18.75" customHeight="1">
      <c r="A11" s="796" t="s">
        <v>72</v>
      </c>
      <c r="B11" s="801" t="s">
        <v>153</v>
      </c>
      <c r="C11" s="802"/>
      <c r="D11" s="834" t="s">
        <v>133</v>
      </c>
      <c r="E11" s="834"/>
      <c r="F11" s="805" t="s">
        <v>181</v>
      </c>
      <c r="G11" s="807" t="s">
        <v>134</v>
      </c>
      <c r="H11" s="798" t="s">
        <v>136</v>
      </c>
      <c r="I11" s="799"/>
      <c r="J11" s="800"/>
      <c r="K11" s="805" t="s">
        <v>73</v>
      </c>
      <c r="L11" s="830" t="s">
        <v>135</v>
      </c>
    </row>
    <row r="12" spans="1:15" s="13" customFormat="1" ht="13.5" thickBot="1">
      <c r="A12" s="797"/>
      <c r="B12" s="803"/>
      <c r="C12" s="804"/>
      <c r="D12" s="103" t="s">
        <v>257</v>
      </c>
      <c r="E12" s="103" t="s">
        <v>258</v>
      </c>
      <c r="F12" s="806"/>
      <c r="G12" s="808"/>
      <c r="H12" s="101" t="s">
        <v>146</v>
      </c>
      <c r="I12" s="101" t="s">
        <v>147</v>
      </c>
      <c r="J12" s="102" t="s">
        <v>148</v>
      </c>
      <c r="K12" s="806"/>
      <c r="L12" s="831"/>
    </row>
    <row r="13" spans="1:15" s="20" customFormat="1" ht="15">
      <c r="A13" s="35"/>
      <c r="B13" s="832"/>
      <c r="C13" s="833"/>
      <c r="D13" s="14"/>
      <c r="E13" s="14"/>
      <c r="F13" s="15"/>
      <c r="G13" s="16"/>
      <c r="H13" s="80"/>
      <c r="I13" s="80"/>
      <c r="J13" s="81"/>
      <c r="K13" s="19"/>
      <c r="L13" s="36"/>
    </row>
    <row r="14" spans="1:15" s="20" customFormat="1" ht="15">
      <c r="A14" s="37"/>
      <c r="B14" s="824"/>
      <c r="C14" s="825"/>
      <c r="D14" s="105"/>
      <c r="E14" s="105"/>
      <c r="F14" s="22"/>
      <c r="G14" s="23"/>
      <c r="H14" s="17"/>
      <c r="I14" s="17"/>
      <c r="J14" s="18"/>
      <c r="K14" s="21"/>
      <c r="L14" s="38"/>
    </row>
    <row r="15" spans="1:15" s="20" customFormat="1" ht="15">
      <c r="A15" s="37"/>
      <c r="B15" s="811"/>
      <c r="C15" s="812"/>
      <c r="D15" s="14"/>
      <c r="E15" s="14"/>
      <c r="F15" s="15"/>
      <c r="G15" s="23"/>
      <c r="H15" s="17"/>
      <c r="I15" s="17"/>
      <c r="J15" s="18"/>
      <c r="K15" s="21"/>
      <c r="L15" s="38"/>
    </row>
    <row r="16" spans="1:15" s="20" customFormat="1" ht="15">
      <c r="A16" s="37"/>
      <c r="B16" s="811"/>
      <c r="C16" s="812"/>
      <c r="D16" s="14"/>
      <c r="E16" s="14"/>
      <c r="F16" s="15"/>
      <c r="G16" s="23"/>
      <c r="H16" s="17"/>
      <c r="I16" s="17"/>
      <c r="J16" s="18"/>
      <c r="K16" s="21"/>
      <c r="L16" s="38"/>
    </row>
    <row r="17" spans="1:12" s="20" customFormat="1" ht="15">
      <c r="A17" s="37"/>
      <c r="B17" s="811"/>
      <c r="C17" s="812"/>
      <c r="D17" s="14"/>
      <c r="E17" s="14"/>
      <c r="F17" s="15"/>
      <c r="G17" s="23"/>
      <c r="H17" s="17"/>
      <c r="I17" s="17"/>
      <c r="J17" s="18"/>
      <c r="K17" s="21"/>
      <c r="L17" s="38"/>
    </row>
    <row r="18" spans="1:12" s="20" customFormat="1" ht="15">
      <c r="A18" s="37"/>
      <c r="B18" s="811"/>
      <c r="C18" s="812"/>
      <c r="D18" s="14"/>
      <c r="E18" s="14"/>
      <c r="F18" s="24"/>
      <c r="G18" s="23"/>
      <c r="H18" s="17"/>
      <c r="I18" s="17"/>
      <c r="J18" s="18"/>
      <c r="K18" s="21"/>
      <c r="L18" s="38"/>
    </row>
    <row r="19" spans="1:12" s="20" customFormat="1" ht="15">
      <c r="A19" s="37"/>
      <c r="B19" s="811"/>
      <c r="C19" s="812"/>
      <c r="D19" s="14"/>
      <c r="E19" s="14"/>
      <c r="F19" s="24"/>
      <c r="G19" s="23"/>
      <c r="H19" s="17"/>
      <c r="I19" s="17"/>
      <c r="J19" s="18"/>
      <c r="K19" s="21"/>
      <c r="L19" s="38"/>
    </row>
    <row r="20" spans="1:12" s="20" customFormat="1" ht="15">
      <c r="A20" s="37"/>
      <c r="B20" s="811"/>
      <c r="C20" s="812"/>
      <c r="D20" s="14"/>
      <c r="E20" s="14"/>
      <c r="F20" s="25"/>
      <c r="G20" s="23"/>
      <c r="H20" s="17"/>
      <c r="I20" s="17"/>
      <c r="J20" s="18"/>
      <c r="K20" s="21"/>
      <c r="L20" s="38"/>
    </row>
    <row r="21" spans="1:12" s="20" customFormat="1" ht="15">
      <c r="A21" s="37"/>
      <c r="B21" s="811"/>
      <c r="C21" s="812"/>
      <c r="D21" s="14"/>
      <c r="E21" s="14"/>
      <c r="F21" s="25"/>
      <c r="G21" s="23"/>
      <c r="H21" s="17"/>
      <c r="I21" s="17"/>
      <c r="J21" s="18"/>
      <c r="K21" s="21"/>
      <c r="L21" s="38"/>
    </row>
    <row r="22" spans="1:12" s="20" customFormat="1" ht="15">
      <c r="A22" s="37"/>
      <c r="B22" s="811"/>
      <c r="C22" s="812"/>
      <c r="D22" s="14"/>
      <c r="E22" s="14"/>
      <c r="F22" s="25"/>
      <c r="G22" s="23"/>
      <c r="H22" s="17"/>
      <c r="I22" s="17"/>
      <c r="J22" s="18"/>
      <c r="K22" s="21"/>
      <c r="L22" s="38"/>
    </row>
    <row r="23" spans="1:12" s="20" customFormat="1" ht="15">
      <c r="A23" s="37"/>
      <c r="B23" s="811"/>
      <c r="C23" s="812"/>
      <c r="D23" s="14"/>
      <c r="E23" s="14"/>
      <c r="F23" s="25"/>
      <c r="G23" s="23"/>
      <c r="H23" s="17"/>
      <c r="I23" s="17"/>
      <c r="J23" s="18"/>
      <c r="K23" s="21"/>
      <c r="L23" s="38"/>
    </row>
    <row r="24" spans="1:12" s="20" customFormat="1" ht="15">
      <c r="A24" s="37"/>
      <c r="B24" s="811"/>
      <c r="C24" s="812"/>
      <c r="D24" s="14"/>
      <c r="E24" s="14"/>
      <c r="F24" s="25"/>
      <c r="G24" s="23"/>
      <c r="H24" s="17"/>
      <c r="I24" s="17"/>
      <c r="J24" s="18"/>
      <c r="K24" s="21"/>
      <c r="L24" s="38"/>
    </row>
    <row r="25" spans="1:12" s="20" customFormat="1" ht="15">
      <c r="A25" s="37"/>
      <c r="B25" s="811"/>
      <c r="C25" s="812"/>
      <c r="D25" s="14"/>
      <c r="E25" s="14"/>
      <c r="F25" s="25"/>
      <c r="G25" s="23"/>
      <c r="H25" s="17"/>
      <c r="I25" s="17"/>
      <c r="J25" s="18"/>
      <c r="K25" s="21"/>
      <c r="L25" s="38"/>
    </row>
    <row r="26" spans="1:12" s="20" customFormat="1" ht="15">
      <c r="A26" s="37"/>
      <c r="B26" s="811"/>
      <c r="C26" s="812"/>
      <c r="D26" s="14"/>
      <c r="E26" s="14"/>
      <c r="F26" s="25"/>
      <c r="G26" s="23"/>
      <c r="H26" s="17"/>
      <c r="I26" s="17"/>
      <c r="J26" s="18"/>
      <c r="K26" s="21"/>
      <c r="L26" s="38"/>
    </row>
    <row r="27" spans="1:12" s="20" customFormat="1" ht="15">
      <c r="A27" s="37"/>
      <c r="B27" s="811"/>
      <c r="C27" s="812"/>
      <c r="D27" s="14"/>
      <c r="E27" s="14"/>
      <c r="F27" s="25"/>
      <c r="G27" s="23"/>
      <c r="H27" s="17"/>
      <c r="I27" s="17"/>
      <c r="J27" s="18"/>
      <c r="K27" s="21"/>
      <c r="L27" s="38"/>
    </row>
    <row r="28" spans="1:12" s="20" customFormat="1" ht="15">
      <c r="A28" s="37"/>
      <c r="B28" s="811"/>
      <c r="C28" s="812"/>
      <c r="D28" s="14"/>
      <c r="E28" s="14"/>
      <c r="F28" s="25"/>
      <c r="G28" s="23"/>
      <c r="H28" s="17"/>
      <c r="I28" s="17"/>
      <c r="J28" s="18"/>
      <c r="K28" s="21"/>
      <c r="L28" s="38"/>
    </row>
    <row r="29" spans="1:12" s="20" customFormat="1" ht="15">
      <c r="A29" s="37"/>
      <c r="B29" s="811"/>
      <c r="C29" s="812"/>
      <c r="D29" s="14"/>
      <c r="E29" s="14"/>
      <c r="F29" s="25"/>
      <c r="G29" s="23"/>
      <c r="H29" s="17"/>
      <c r="I29" s="17"/>
      <c r="J29" s="18"/>
      <c r="K29" s="21"/>
      <c r="L29" s="38"/>
    </row>
    <row r="30" spans="1:12" s="20" customFormat="1" ht="15">
      <c r="A30" s="37"/>
      <c r="B30" s="811"/>
      <c r="C30" s="812"/>
      <c r="D30" s="14"/>
      <c r="E30" s="14"/>
      <c r="F30" s="25"/>
      <c r="G30" s="23"/>
      <c r="H30" s="17"/>
      <c r="I30" s="17"/>
      <c r="J30" s="18"/>
      <c r="K30" s="21"/>
      <c r="L30" s="38"/>
    </row>
    <row r="31" spans="1:12" s="20" customFormat="1" ht="15">
      <c r="A31" s="37"/>
      <c r="B31" s="811"/>
      <c r="C31" s="812"/>
      <c r="D31" s="14"/>
      <c r="E31" s="14"/>
      <c r="F31" s="25"/>
      <c r="G31" s="23"/>
      <c r="H31" s="17"/>
      <c r="I31" s="17"/>
      <c r="J31" s="18"/>
      <c r="K31" s="21"/>
      <c r="L31" s="38"/>
    </row>
    <row r="32" spans="1:12" s="20" customFormat="1" ht="15">
      <c r="A32" s="37"/>
      <c r="B32" s="811"/>
      <c r="C32" s="812"/>
      <c r="D32" s="14"/>
      <c r="E32" s="14"/>
      <c r="F32" s="25"/>
      <c r="G32" s="23"/>
      <c r="H32" s="17"/>
      <c r="I32" s="17"/>
      <c r="J32" s="18"/>
      <c r="K32" s="21"/>
      <c r="L32" s="38"/>
    </row>
    <row r="33" spans="1:22" s="20" customFormat="1" ht="15">
      <c r="A33" s="37"/>
      <c r="B33" s="811"/>
      <c r="C33" s="812"/>
      <c r="D33" s="14"/>
      <c r="E33" s="14"/>
      <c r="F33" s="25"/>
      <c r="G33" s="23"/>
      <c r="H33" s="17"/>
      <c r="I33" s="17"/>
      <c r="J33" s="18"/>
      <c r="K33" s="21"/>
      <c r="L33" s="38"/>
    </row>
    <row r="34" spans="1:22" s="20" customFormat="1" ht="15">
      <c r="A34" s="37"/>
      <c r="B34" s="811"/>
      <c r="C34" s="812"/>
      <c r="D34" s="14"/>
      <c r="E34" s="14"/>
      <c r="F34" s="25"/>
      <c r="G34" s="23"/>
      <c r="H34" s="17"/>
      <c r="I34" s="17"/>
      <c r="J34" s="18"/>
      <c r="K34" s="21"/>
      <c r="L34" s="38"/>
    </row>
    <row r="35" spans="1:22" s="20" customFormat="1" ht="15">
      <c r="A35" s="37"/>
      <c r="B35" s="811"/>
      <c r="C35" s="812"/>
      <c r="D35" s="14"/>
      <c r="E35" s="14"/>
      <c r="F35" s="25"/>
      <c r="G35" s="23"/>
      <c r="H35" s="17"/>
      <c r="I35" s="17"/>
      <c r="J35" s="18"/>
      <c r="K35" s="21"/>
      <c r="L35" s="38"/>
    </row>
    <row r="36" spans="1:22" s="20" customFormat="1" ht="15">
      <c r="A36" s="37"/>
      <c r="B36" s="811"/>
      <c r="C36" s="812"/>
      <c r="D36" s="14"/>
      <c r="E36" s="14"/>
      <c r="F36" s="25"/>
      <c r="G36" s="23"/>
      <c r="H36" s="17"/>
      <c r="I36" s="17"/>
      <c r="J36" s="18"/>
      <c r="K36" s="21"/>
      <c r="L36" s="38"/>
    </row>
    <row r="37" spans="1:22" s="20" customFormat="1" ht="15">
      <c r="A37" s="37"/>
      <c r="B37" s="811"/>
      <c r="C37" s="812"/>
      <c r="D37" s="14"/>
      <c r="E37" s="14"/>
      <c r="F37" s="25"/>
      <c r="G37" s="23"/>
      <c r="H37" s="17"/>
      <c r="I37" s="17"/>
      <c r="J37" s="18"/>
      <c r="K37" s="21"/>
      <c r="L37" s="38"/>
    </row>
    <row r="38" spans="1:22" s="20" customFormat="1" ht="15">
      <c r="A38" s="37"/>
      <c r="B38" s="811"/>
      <c r="C38" s="812"/>
      <c r="D38" s="14"/>
      <c r="E38" s="14"/>
      <c r="F38" s="25"/>
      <c r="G38" s="23"/>
      <c r="H38" s="17"/>
      <c r="I38" s="17"/>
      <c r="J38" s="18"/>
      <c r="K38" s="21"/>
      <c r="L38" s="38"/>
    </row>
    <row r="39" spans="1:22" s="20" customFormat="1" ht="15">
      <c r="A39" s="37"/>
      <c r="B39" s="811"/>
      <c r="C39" s="812"/>
      <c r="D39" s="14"/>
      <c r="E39" s="14"/>
      <c r="F39" s="25"/>
      <c r="G39" s="23"/>
      <c r="H39" s="17"/>
      <c r="I39" s="17"/>
      <c r="J39" s="18"/>
      <c r="K39" s="21"/>
      <c r="L39" s="38"/>
    </row>
    <row r="40" spans="1:22" s="20" customFormat="1" ht="15.75" thickBot="1">
      <c r="A40" s="39"/>
      <c r="B40" s="813"/>
      <c r="C40" s="814"/>
      <c r="D40" s="106"/>
      <c r="E40" s="106"/>
      <c r="F40" s="40"/>
      <c r="G40" s="41"/>
      <c r="H40" s="42"/>
      <c r="I40" s="42"/>
      <c r="J40" s="43"/>
      <c r="K40" s="44"/>
      <c r="L40" s="45"/>
    </row>
    <row r="41" spans="1:22" s="20" customFormat="1" ht="15.75" thickBot="1">
      <c r="A41" s="29"/>
      <c r="B41" s="29"/>
      <c r="C41" s="29"/>
      <c r="D41" s="793" t="s">
        <v>142</v>
      </c>
      <c r="E41" s="794"/>
      <c r="F41" s="794"/>
      <c r="G41" s="794"/>
      <c r="H41" s="794"/>
      <c r="I41" s="794"/>
      <c r="J41" s="794"/>
      <c r="K41" s="795"/>
    </row>
    <row r="42" spans="1:22">
      <c r="D42" s="1"/>
      <c r="E42" s="4"/>
      <c r="F42" s="4"/>
      <c r="H42" s="1"/>
    </row>
    <row r="43" spans="1:22" ht="9.75" customHeight="1">
      <c r="B43" s="842" t="s">
        <v>149</v>
      </c>
      <c r="C43" s="843"/>
      <c r="D43" s="844" t="s">
        <v>15</v>
      </c>
      <c r="E43" s="844"/>
      <c r="F43" s="844"/>
      <c r="G43" s="844" t="s">
        <v>74</v>
      </c>
      <c r="H43" s="844"/>
      <c r="I43" s="844"/>
      <c r="J43" s="844" t="s">
        <v>16</v>
      </c>
      <c r="K43" s="845"/>
    </row>
    <row r="44" spans="1:22" ht="20.25" customHeight="1">
      <c r="B44" s="837"/>
      <c r="C44" s="838"/>
      <c r="D44" s="839"/>
      <c r="E44" s="839"/>
      <c r="F44" s="839"/>
      <c r="G44" s="839"/>
      <c r="H44" s="839"/>
      <c r="I44" s="839"/>
      <c r="J44" s="840"/>
      <c r="K44" s="841"/>
    </row>
    <row r="45" spans="1:22" s="8" customFormat="1" ht="9">
      <c r="A45" s="7"/>
      <c r="B45" s="7"/>
      <c r="C45" s="9"/>
      <c r="D45" s="107"/>
      <c r="E45" s="107"/>
      <c r="F45" s="26"/>
      <c r="G45" s="7"/>
      <c r="H45" s="27"/>
      <c r="I45" s="7"/>
      <c r="J45" s="7"/>
      <c r="K45" s="7"/>
      <c r="L45" s="28"/>
      <c r="M45" s="7"/>
      <c r="N45" s="7"/>
      <c r="O45" s="7"/>
      <c r="P45" s="7"/>
      <c r="Q45" s="7"/>
      <c r="R45" s="7"/>
      <c r="S45" s="7"/>
      <c r="T45" s="7"/>
      <c r="U45" s="7"/>
      <c r="V45" s="7"/>
    </row>
  </sheetData>
  <mergeCells count="57">
    <mergeCell ref="B44:C44"/>
    <mergeCell ref="G44:I44"/>
    <mergeCell ref="J44:K44"/>
    <mergeCell ref="B43:C43"/>
    <mergeCell ref="D43:F43"/>
    <mergeCell ref="G43:I43"/>
    <mergeCell ref="J43:K43"/>
    <mergeCell ref="D44:F44"/>
    <mergeCell ref="B18:C18"/>
    <mergeCell ref="B19:C19"/>
    <mergeCell ref="B20:C20"/>
    <mergeCell ref="D11:E11"/>
    <mergeCell ref="B7:G7"/>
    <mergeCell ref="B27:C27"/>
    <mergeCell ref="I4:L4"/>
    <mergeCell ref="I3:L3"/>
    <mergeCell ref="B15:C15"/>
    <mergeCell ref="B16:C16"/>
    <mergeCell ref="D6:G6"/>
    <mergeCell ref="H7:J7"/>
    <mergeCell ref="K7:L7"/>
    <mergeCell ref="B14:C14"/>
    <mergeCell ref="K6:L6"/>
    <mergeCell ref="A6:C6"/>
    <mergeCell ref="H6:J6"/>
    <mergeCell ref="L11:L12"/>
    <mergeCell ref="B13:C13"/>
    <mergeCell ref="B21:C21"/>
    <mergeCell ref="B17:C17"/>
    <mergeCell ref="B22:C22"/>
    <mergeCell ref="B23:C23"/>
    <mergeCell ref="B24:C24"/>
    <mergeCell ref="B25:C25"/>
    <mergeCell ref="B26:C26"/>
    <mergeCell ref="B38:C38"/>
    <mergeCell ref="B28:C28"/>
    <mergeCell ref="B29:C29"/>
    <mergeCell ref="B30:C30"/>
    <mergeCell ref="B31:C31"/>
    <mergeCell ref="B32:C32"/>
    <mergeCell ref="B33:C33"/>
    <mergeCell ref="D41:K41"/>
    <mergeCell ref="A1:L2"/>
    <mergeCell ref="A11:A12"/>
    <mergeCell ref="H11:J11"/>
    <mergeCell ref="B11:C12"/>
    <mergeCell ref="F11:F12"/>
    <mergeCell ref="G11:G12"/>
    <mergeCell ref="K11:K12"/>
    <mergeCell ref="C3:G3"/>
    <mergeCell ref="C4:G4"/>
    <mergeCell ref="B39:C39"/>
    <mergeCell ref="B40:C40"/>
    <mergeCell ref="B34:C34"/>
    <mergeCell ref="B35:C35"/>
    <mergeCell ref="B36:C36"/>
    <mergeCell ref="B37:C37"/>
  </mergeCells>
  <phoneticPr fontId="0" type="noConversion"/>
  <printOptions horizontalCentered="1" verticalCentered="1"/>
  <pageMargins left="0.25" right="0.25" top="0.41" bottom="0.8125" header="0.17" footer="0.16"/>
  <pageSetup scale="95" fitToHeight="27" orientation="portrait" r:id="rId1"/>
  <headerFooter alignWithMargins="0">
    <oddFooter xml:space="preserve">&amp;L&amp;6&amp;Z&amp;F&amp;CQAI_6012 AAR Mobility PPAP Workbook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
  <sheetViews>
    <sheetView workbookViewId="0">
      <selection activeCell="I34" sqref="I34"/>
    </sheetView>
  </sheetViews>
  <sheetFormatPr defaultRowHeight="12.7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11"/>
    <pageSetUpPr fitToPage="1"/>
  </sheetPr>
  <dimension ref="A1:V45"/>
  <sheetViews>
    <sheetView zoomScaleNormal="100" workbookViewId="0">
      <pane ySplit="12" topLeftCell="A13" activePane="bottomLeft" state="frozen"/>
      <selection activeCell="O21" sqref="O21"/>
      <selection pane="bottomLeft" activeCell="O21" sqref="O21"/>
    </sheetView>
  </sheetViews>
  <sheetFormatPr defaultColWidth="9.140625" defaultRowHeight="12.75"/>
  <cols>
    <col min="1" max="1" width="4.5703125" style="1" customWidth="1"/>
    <col min="2" max="2" width="13.7109375" style="1" customWidth="1"/>
    <col min="3" max="3" width="8" style="1" customWidth="1"/>
    <col min="4" max="5" width="8.7109375" style="6" customWidth="1"/>
    <col min="6" max="6" width="12.5703125" style="1" customWidth="1"/>
    <col min="7" max="7" width="6.7109375" style="1" customWidth="1"/>
    <col min="8" max="8" width="12.7109375" style="11" customWidth="1"/>
    <col min="9" max="10" width="12.7109375" style="1" customWidth="1"/>
    <col min="11" max="12" width="3.7109375" style="1" customWidth="1"/>
    <col min="13" max="16384" width="9.140625" style="1"/>
  </cols>
  <sheetData>
    <row r="1" spans="1:15" ht="18" customHeight="1">
      <c r="A1" s="755" t="s">
        <v>847</v>
      </c>
      <c r="B1" s="658"/>
      <c r="C1" s="658"/>
      <c r="D1" s="658"/>
      <c r="E1" s="658"/>
      <c r="F1" s="658"/>
      <c r="G1" s="658"/>
      <c r="H1" s="658"/>
      <c r="I1" s="658"/>
      <c r="J1" s="658"/>
      <c r="K1" s="658"/>
      <c r="L1" s="659"/>
    </row>
    <row r="2" spans="1:15" ht="64.5" customHeight="1" thickBot="1">
      <c r="A2" s="660"/>
      <c r="B2" s="661"/>
      <c r="C2" s="661"/>
      <c r="D2" s="661"/>
      <c r="E2" s="661"/>
      <c r="F2" s="661"/>
      <c r="G2" s="661"/>
      <c r="H2" s="661"/>
      <c r="I2" s="661"/>
      <c r="J2" s="661"/>
      <c r="K2" s="661"/>
      <c r="L2" s="662"/>
    </row>
    <row r="3" spans="1:15" ht="12" customHeight="1">
      <c r="A3" s="76" t="s">
        <v>138</v>
      </c>
      <c r="B3" s="77"/>
      <c r="C3" s="809" t="str">
        <f>INTRO!D36</f>
        <v>SUPPLIER COMPANY</v>
      </c>
      <c r="D3" s="809"/>
      <c r="E3" s="809"/>
      <c r="F3" s="809"/>
      <c r="G3" s="809"/>
      <c r="H3" s="49" t="s">
        <v>18</v>
      </c>
      <c r="I3" s="817" t="str">
        <f>INTRO!$D$29</f>
        <v>P-NUMBER</v>
      </c>
      <c r="J3" s="817"/>
      <c r="K3" s="817"/>
      <c r="L3" s="818"/>
      <c r="N3" s="12"/>
      <c r="O3" s="3"/>
    </row>
    <row r="4" spans="1:15" ht="13.5" thickBot="1">
      <c r="A4" s="79" t="s">
        <v>152</v>
      </c>
      <c r="B4" s="78"/>
      <c r="C4" s="810" t="str">
        <f>INTRO!D37</f>
        <v>NUMBER</v>
      </c>
      <c r="D4" s="810"/>
      <c r="E4" s="810"/>
      <c r="F4" s="810"/>
      <c r="G4" s="810"/>
      <c r="H4" s="74" t="s">
        <v>140</v>
      </c>
      <c r="I4" s="815" t="str">
        <f>INTRO!$D$28</f>
        <v>NAME</v>
      </c>
      <c r="J4" s="815"/>
      <c r="K4" s="815"/>
      <c r="L4" s="816"/>
      <c r="N4" s="4"/>
      <c r="O4" s="4"/>
    </row>
    <row r="5" spans="1:15" s="4" customFormat="1" ht="13.5" thickBot="1">
      <c r="A5" s="75"/>
      <c r="B5" s="3"/>
      <c r="C5" s="82"/>
      <c r="D5" s="82"/>
      <c r="E5" s="82"/>
      <c r="F5" s="82"/>
      <c r="G5" s="82"/>
      <c r="H5" s="75"/>
      <c r="I5" s="83"/>
      <c r="J5" s="83"/>
      <c r="K5" s="83"/>
      <c r="L5" s="83"/>
    </row>
    <row r="6" spans="1:15" ht="12.75" customHeight="1">
      <c r="A6" s="828" t="s">
        <v>139</v>
      </c>
      <c r="B6" s="829"/>
      <c r="C6" s="829"/>
      <c r="D6" s="819"/>
      <c r="E6" s="819"/>
      <c r="F6" s="819"/>
      <c r="G6" s="820"/>
      <c r="H6" s="829" t="s">
        <v>137</v>
      </c>
      <c r="I6" s="829"/>
      <c r="J6" s="829"/>
      <c r="K6" s="826" t="str">
        <f>INTRO!D31</f>
        <v>ECN</v>
      </c>
      <c r="L6" s="827"/>
      <c r="N6" s="12"/>
      <c r="O6" s="3"/>
    </row>
    <row r="7" spans="1:15" ht="13.5" thickBot="1">
      <c r="A7" s="178" t="s">
        <v>17</v>
      </c>
      <c r="B7" s="822"/>
      <c r="C7" s="835"/>
      <c r="D7" s="835"/>
      <c r="E7" s="835"/>
      <c r="F7" s="835"/>
      <c r="G7" s="836"/>
      <c r="H7" s="821" t="s">
        <v>141</v>
      </c>
      <c r="I7" s="821"/>
      <c r="J7" s="821"/>
      <c r="K7" s="822"/>
      <c r="L7" s="823"/>
    </row>
    <row r="8" spans="1:15" ht="5.25" customHeight="1">
      <c r="A8" s="497"/>
      <c r="B8" s="104"/>
      <c r="C8" s="104"/>
      <c r="D8" s="104"/>
      <c r="E8" s="104"/>
      <c r="F8" s="104"/>
      <c r="G8" s="104"/>
      <c r="H8" s="73"/>
      <c r="I8" s="73"/>
      <c r="J8" s="73"/>
      <c r="K8" s="104"/>
      <c r="L8" s="104"/>
    </row>
    <row r="9" spans="1:15">
      <c r="A9" s="12" t="s">
        <v>845</v>
      </c>
      <c r="B9" s="104"/>
      <c r="C9" s="104"/>
      <c r="D9" s="104"/>
      <c r="E9" s="104"/>
      <c r="F9" s="104"/>
      <c r="G9" s="104"/>
      <c r="H9" s="73"/>
      <c r="I9" s="73"/>
      <c r="J9" s="73"/>
      <c r="K9" s="104"/>
      <c r="L9" s="104"/>
    </row>
    <row r="10" spans="1:15" ht="6.75" customHeight="1" thickBot="1">
      <c r="A10" s="75"/>
      <c r="B10" s="75"/>
      <c r="C10" s="75"/>
      <c r="D10" s="104"/>
      <c r="E10" s="104"/>
      <c r="F10" s="75"/>
      <c r="G10" s="75"/>
      <c r="H10" s="75"/>
      <c r="I10" s="75"/>
      <c r="J10" s="75"/>
      <c r="K10" s="75"/>
      <c r="L10" s="4"/>
    </row>
    <row r="11" spans="1:15" ht="18.75" customHeight="1">
      <c r="A11" s="796" t="s">
        <v>72</v>
      </c>
      <c r="B11" s="801" t="s">
        <v>846</v>
      </c>
      <c r="C11" s="802"/>
      <c r="D11" s="834" t="s">
        <v>133</v>
      </c>
      <c r="E11" s="834"/>
      <c r="F11" s="805" t="s">
        <v>181</v>
      </c>
      <c r="G11" s="807" t="s">
        <v>134</v>
      </c>
      <c r="H11" s="798" t="s">
        <v>136</v>
      </c>
      <c r="I11" s="799"/>
      <c r="J11" s="800"/>
      <c r="K11" s="805" t="s">
        <v>73</v>
      </c>
      <c r="L11" s="830" t="s">
        <v>135</v>
      </c>
    </row>
    <row r="12" spans="1:15" s="13" customFormat="1" ht="13.5" thickBot="1">
      <c r="A12" s="797"/>
      <c r="B12" s="803"/>
      <c r="C12" s="804"/>
      <c r="D12" s="103" t="s">
        <v>257</v>
      </c>
      <c r="E12" s="103" t="s">
        <v>258</v>
      </c>
      <c r="F12" s="806"/>
      <c r="G12" s="808"/>
      <c r="H12" s="101" t="s">
        <v>146</v>
      </c>
      <c r="I12" s="101" t="s">
        <v>147</v>
      </c>
      <c r="J12" s="102" t="s">
        <v>148</v>
      </c>
      <c r="K12" s="806"/>
      <c r="L12" s="831"/>
    </row>
    <row r="13" spans="1:15" s="20" customFormat="1" ht="15">
      <c r="A13" s="35"/>
      <c r="B13" s="832"/>
      <c r="C13" s="833"/>
      <c r="D13" s="14"/>
      <c r="E13" s="14"/>
      <c r="F13" s="15"/>
      <c r="G13" s="16"/>
      <c r="H13" s="80"/>
      <c r="I13" s="80"/>
      <c r="J13" s="81"/>
      <c r="K13" s="19"/>
      <c r="L13" s="36"/>
    </row>
    <row r="14" spans="1:15" s="20" customFormat="1" ht="15">
      <c r="A14" s="37"/>
      <c r="B14" s="824"/>
      <c r="C14" s="825"/>
      <c r="D14" s="105"/>
      <c r="E14" s="105"/>
      <c r="F14" s="22"/>
      <c r="G14" s="23"/>
      <c r="H14" s="17"/>
      <c r="I14" s="17"/>
      <c r="J14" s="18"/>
      <c r="K14" s="21"/>
      <c r="L14" s="38"/>
    </row>
    <row r="15" spans="1:15" s="20" customFormat="1" ht="15">
      <c r="A15" s="37"/>
      <c r="B15" s="811"/>
      <c r="C15" s="812"/>
      <c r="D15" s="14"/>
      <c r="E15" s="14"/>
      <c r="F15" s="15"/>
      <c r="G15" s="23"/>
      <c r="H15" s="17"/>
      <c r="I15" s="17"/>
      <c r="J15" s="18"/>
      <c r="K15" s="21"/>
      <c r="L15" s="38"/>
    </row>
    <row r="16" spans="1:15" s="20" customFormat="1" ht="15">
      <c r="A16" s="37"/>
      <c r="B16" s="811"/>
      <c r="C16" s="812"/>
      <c r="D16" s="14"/>
      <c r="E16" s="14"/>
      <c r="F16" s="15"/>
      <c r="G16" s="23"/>
      <c r="H16" s="17"/>
      <c r="I16" s="17"/>
      <c r="J16" s="18"/>
      <c r="K16" s="21"/>
      <c r="L16" s="38"/>
    </row>
    <row r="17" spans="1:12" s="20" customFormat="1" ht="15">
      <c r="A17" s="37"/>
      <c r="B17" s="811"/>
      <c r="C17" s="812"/>
      <c r="D17" s="14"/>
      <c r="E17" s="14"/>
      <c r="F17" s="15"/>
      <c r="G17" s="23"/>
      <c r="H17" s="17"/>
      <c r="I17" s="17"/>
      <c r="J17" s="18"/>
      <c r="K17" s="21"/>
      <c r="L17" s="38"/>
    </row>
    <row r="18" spans="1:12" s="20" customFormat="1" ht="15">
      <c r="A18" s="37"/>
      <c r="B18" s="811"/>
      <c r="C18" s="812"/>
      <c r="D18" s="14"/>
      <c r="E18" s="14"/>
      <c r="F18" s="24"/>
      <c r="G18" s="23"/>
      <c r="H18" s="17"/>
      <c r="I18" s="17"/>
      <c r="J18" s="18"/>
      <c r="K18" s="21"/>
      <c r="L18" s="38"/>
    </row>
    <row r="19" spans="1:12" s="20" customFormat="1" ht="15">
      <c r="A19" s="37"/>
      <c r="B19" s="811"/>
      <c r="C19" s="812"/>
      <c r="D19" s="14"/>
      <c r="E19" s="14"/>
      <c r="F19" s="24"/>
      <c r="G19" s="23"/>
      <c r="H19" s="17"/>
      <c r="I19" s="17"/>
      <c r="J19" s="18"/>
      <c r="K19" s="21"/>
      <c r="L19" s="38"/>
    </row>
    <row r="20" spans="1:12" s="20" customFormat="1" ht="15">
      <c r="A20" s="37"/>
      <c r="B20" s="811"/>
      <c r="C20" s="812"/>
      <c r="D20" s="14"/>
      <c r="E20" s="14"/>
      <c r="F20" s="25"/>
      <c r="G20" s="23"/>
      <c r="H20" s="17"/>
      <c r="I20" s="17"/>
      <c r="J20" s="18"/>
      <c r="K20" s="21"/>
      <c r="L20" s="38"/>
    </row>
    <row r="21" spans="1:12" s="20" customFormat="1" ht="15">
      <c r="A21" s="37"/>
      <c r="B21" s="811"/>
      <c r="C21" s="812"/>
      <c r="D21" s="14"/>
      <c r="E21" s="14"/>
      <c r="F21" s="25"/>
      <c r="G21" s="23"/>
      <c r="H21" s="17"/>
      <c r="I21" s="17"/>
      <c r="J21" s="18"/>
      <c r="K21" s="21"/>
      <c r="L21" s="38"/>
    </row>
    <row r="22" spans="1:12" s="20" customFormat="1" ht="15">
      <c r="A22" s="37"/>
      <c r="B22" s="811"/>
      <c r="C22" s="812"/>
      <c r="D22" s="14"/>
      <c r="E22" s="14"/>
      <c r="F22" s="25"/>
      <c r="G22" s="23"/>
      <c r="H22" s="17"/>
      <c r="I22" s="17"/>
      <c r="J22" s="18"/>
      <c r="K22" s="21"/>
      <c r="L22" s="38"/>
    </row>
    <row r="23" spans="1:12" s="20" customFormat="1" ht="15">
      <c r="A23" s="37"/>
      <c r="B23" s="811"/>
      <c r="C23" s="812"/>
      <c r="D23" s="14"/>
      <c r="E23" s="14"/>
      <c r="F23" s="25"/>
      <c r="G23" s="23"/>
      <c r="H23" s="17"/>
      <c r="I23" s="17"/>
      <c r="J23" s="18"/>
      <c r="K23" s="21"/>
      <c r="L23" s="38"/>
    </row>
    <row r="24" spans="1:12" s="20" customFormat="1" ht="15">
      <c r="A24" s="37"/>
      <c r="B24" s="811"/>
      <c r="C24" s="812"/>
      <c r="D24" s="14"/>
      <c r="E24" s="14"/>
      <c r="F24" s="25"/>
      <c r="G24" s="23"/>
      <c r="H24" s="17"/>
      <c r="I24" s="17"/>
      <c r="J24" s="18"/>
      <c r="K24" s="21"/>
      <c r="L24" s="38"/>
    </row>
    <row r="25" spans="1:12" s="20" customFormat="1" ht="15">
      <c r="A25" s="37"/>
      <c r="B25" s="811"/>
      <c r="C25" s="812"/>
      <c r="D25" s="14"/>
      <c r="E25" s="14"/>
      <c r="F25" s="25"/>
      <c r="G25" s="23"/>
      <c r="H25" s="17"/>
      <c r="I25" s="17"/>
      <c r="J25" s="18"/>
      <c r="K25" s="21"/>
      <c r="L25" s="38"/>
    </row>
    <row r="26" spans="1:12" s="20" customFormat="1" ht="15">
      <c r="A26" s="37"/>
      <c r="B26" s="811"/>
      <c r="C26" s="812"/>
      <c r="D26" s="14"/>
      <c r="E26" s="14"/>
      <c r="F26" s="25"/>
      <c r="G26" s="23"/>
      <c r="H26" s="17"/>
      <c r="I26" s="17"/>
      <c r="J26" s="18"/>
      <c r="K26" s="21"/>
      <c r="L26" s="38"/>
    </row>
    <row r="27" spans="1:12" s="20" customFormat="1" ht="15">
      <c r="A27" s="37"/>
      <c r="B27" s="811"/>
      <c r="C27" s="812"/>
      <c r="D27" s="14"/>
      <c r="E27" s="14"/>
      <c r="F27" s="25"/>
      <c r="G27" s="23"/>
      <c r="H27" s="17"/>
      <c r="I27" s="17"/>
      <c r="J27" s="18"/>
      <c r="K27" s="21"/>
      <c r="L27" s="38"/>
    </row>
    <row r="28" spans="1:12" s="20" customFormat="1" ht="15">
      <c r="A28" s="37"/>
      <c r="B28" s="811"/>
      <c r="C28" s="812"/>
      <c r="D28" s="14"/>
      <c r="E28" s="14"/>
      <c r="F28" s="25"/>
      <c r="G28" s="23"/>
      <c r="H28" s="17"/>
      <c r="I28" s="17"/>
      <c r="J28" s="18"/>
      <c r="K28" s="21"/>
      <c r="L28" s="38"/>
    </row>
    <row r="29" spans="1:12" s="20" customFormat="1" ht="15">
      <c r="A29" s="37"/>
      <c r="B29" s="811"/>
      <c r="C29" s="812"/>
      <c r="D29" s="14"/>
      <c r="E29" s="14"/>
      <c r="F29" s="25"/>
      <c r="G29" s="23"/>
      <c r="H29" s="17"/>
      <c r="I29" s="17"/>
      <c r="J29" s="18"/>
      <c r="K29" s="21"/>
      <c r="L29" s="38"/>
    </row>
    <row r="30" spans="1:12" s="20" customFormat="1" ht="15">
      <c r="A30" s="37"/>
      <c r="B30" s="811"/>
      <c r="C30" s="812"/>
      <c r="D30" s="14"/>
      <c r="E30" s="14"/>
      <c r="F30" s="25"/>
      <c r="G30" s="23"/>
      <c r="H30" s="17"/>
      <c r="I30" s="17"/>
      <c r="J30" s="18"/>
      <c r="K30" s="21"/>
      <c r="L30" s="38"/>
    </row>
    <row r="31" spans="1:12" s="20" customFormat="1" ht="15">
      <c r="A31" s="37"/>
      <c r="B31" s="811"/>
      <c r="C31" s="812"/>
      <c r="D31" s="14"/>
      <c r="E31" s="14"/>
      <c r="F31" s="25"/>
      <c r="G31" s="23"/>
      <c r="H31" s="17"/>
      <c r="I31" s="17"/>
      <c r="J31" s="18"/>
      <c r="K31" s="21"/>
      <c r="L31" s="38"/>
    </row>
    <row r="32" spans="1:12" s="20" customFormat="1" ht="15">
      <c r="A32" s="37"/>
      <c r="B32" s="811"/>
      <c r="C32" s="812"/>
      <c r="D32" s="14"/>
      <c r="E32" s="14"/>
      <c r="F32" s="25"/>
      <c r="G32" s="23"/>
      <c r="H32" s="17"/>
      <c r="I32" s="17"/>
      <c r="J32" s="18"/>
      <c r="K32" s="21"/>
      <c r="L32" s="38"/>
    </row>
    <row r="33" spans="1:22" s="20" customFormat="1" ht="15">
      <c r="A33" s="37"/>
      <c r="B33" s="811"/>
      <c r="C33" s="812"/>
      <c r="D33" s="14"/>
      <c r="E33" s="14"/>
      <c r="F33" s="25"/>
      <c r="G33" s="23"/>
      <c r="H33" s="17"/>
      <c r="I33" s="17"/>
      <c r="J33" s="18"/>
      <c r="K33" s="21"/>
      <c r="L33" s="38"/>
    </row>
    <row r="34" spans="1:22" s="20" customFormat="1" ht="15">
      <c r="A34" s="37"/>
      <c r="B34" s="811"/>
      <c r="C34" s="812"/>
      <c r="D34" s="14"/>
      <c r="E34" s="14"/>
      <c r="F34" s="25"/>
      <c r="G34" s="23"/>
      <c r="H34" s="17"/>
      <c r="I34" s="17"/>
      <c r="J34" s="18"/>
      <c r="K34" s="21"/>
      <c r="L34" s="38"/>
    </row>
    <row r="35" spans="1:22" s="20" customFormat="1" ht="15">
      <c r="A35" s="37"/>
      <c r="B35" s="811"/>
      <c r="C35" s="812"/>
      <c r="D35" s="14"/>
      <c r="E35" s="14"/>
      <c r="F35" s="25"/>
      <c r="G35" s="23"/>
      <c r="H35" s="17"/>
      <c r="I35" s="17"/>
      <c r="J35" s="18"/>
      <c r="K35" s="21"/>
      <c r="L35" s="38"/>
    </row>
    <row r="36" spans="1:22" s="20" customFormat="1" ht="15">
      <c r="A36" s="37"/>
      <c r="B36" s="811"/>
      <c r="C36" s="812"/>
      <c r="D36" s="14"/>
      <c r="E36" s="14"/>
      <c r="F36" s="25"/>
      <c r="G36" s="23"/>
      <c r="H36" s="17"/>
      <c r="I36" s="17"/>
      <c r="J36" s="18"/>
      <c r="K36" s="21"/>
      <c r="L36" s="38"/>
    </row>
    <row r="37" spans="1:22" s="20" customFormat="1" ht="15">
      <c r="A37" s="37"/>
      <c r="B37" s="811"/>
      <c r="C37" s="812"/>
      <c r="D37" s="14"/>
      <c r="E37" s="14"/>
      <c r="F37" s="25"/>
      <c r="G37" s="23"/>
      <c r="H37" s="17"/>
      <c r="I37" s="17"/>
      <c r="J37" s="18"/>
      <c r="K37" s="21"/>
      <c r="L37" s="38"/>
    </row>
    <row r="38" spans="1:22" s="20" customFormat="1" ht="15">
      <c r="A38" s="37"/>
      <c r="B38" s="811"/>
      <c r="C38" s="812"/>
      <c r="D38" s="14"/>
      <c r="E38" s="14"/>
      <c r="F38" s="25"/>
      <c r="G38" s="23"/>
      <c r="H38" s="17"/>
      <c r="I38" s="17"/>
      <c r="J38" s="18"/>
      <c r="K38" s="21"/>
      <c r="L38" s="38"/>
    </row>
    <row r="39" spans="1:22" s="20" customFormat="1" ht="15">
      <c r="A39" s="37"/>
      <c r="B39" s="811"/>
      <c r="C39" s="812"/>
      <c r="D39" s="14"/>
      <c r="E39" s="14"/>
      <c r="F39" s="25"/>
      <c r="G39" s="23"/>
      <c r="H39" s="17"/>
      <c r="I39" s="17"/>
      <c r="J39" s="18"/>
      <c r="K39" s="21"/>
      <c r="L39" s="38"/>
    </row>
    <row r="40" spans="1:22" s="20" customFormat="1" ht="15.75" thickBot="1">
      <c r="A40" s="39"/>
      <c r="B40" s="813"/>
      <c r="C40" s="814"/>
      <c r="D40" s="106"/>
      <c r="E40" s="106"/>
      <c r="F40" s="40"/>
      <c r="G40" s="41"/>
      <c r="H40" s="42"/>
      <c r="I40" s="42"/>
      <c r="J40" s="43"/>
      <c r="K40" s="44"/>
      <c r="L40" s="45"/>
    </row>
    <row r="41" spans="1:22" s="20" customFormat="1" ht="15.75" thickBot="1">
      <c r="A41" s="29"/>
      <c r="B41" s="29"/>
      <c r="C41" s="29"/>
      <c r="D41" s="793" t="s">
        <v>142</v>
      </c>
      <c r="E41" s="794"/>
      <c r="F41" s="794"/>
      <c r="G41" s="794"/>
      <c r="H41" s="794"/>
      <c r="I41" s="794"/>
      <c r="J41" s="794"/>
      <c r="K41" s="795"/>
    </row>
    <row r="42" spans="1:22">
      <c r="D42" s="1"/>
      <c r="E42" s="4"/>
      <c r="F42" s="4"/>
      <c r="H42" s="1"/>
    </row>
    <row r="43" spans="1:22" ht="9.75" customHeight="1">
      <c r="B43" s="842" t="s">
        <v>149</v>
      </c>
      <c r="C43" s="843"/>
      <c r="D43" s="844" t="s">
        <v>15</v>
      </c>
      <c r="E43" s="844"/>
      <c r="F43" s="844"/>
      <c r="G43" s="844" t="s">
        <v>74</v>
      </c>
      <c r="H43" s="844"/>
      <c r="I43" s="844"/>
      <c r="J43" s="844" t="s">
        <v>16</v>
      </c>
      <c r="K43" s="845"/>
    </row>
    <row r="44" spans="1:22" ht="20.25" customHeight="1">
      <c r="B44" s="837"/>
      <c r="C44" s="838"/>
      <c r="D44" s="839"/>
      <c r="E44" s="839"/>
      <c r="F44" s="839"/>
      <c r="G44" s="839"/>
      <c r="H44" s="839"/>
      <c r="I44" s="839"/>
      <c r="J44" s="840"/>
      <c r="K44" s="841"/>
    </row>
    <row r="45" spans="1:22" s="8" customFormat="1" ht="9">
      <c r="A45" s="7"/>
      <c r="B45" s="7"/>
      <c r="C45" s="9"/>
      <c r="D45" s="107"/>
      <c r="E45" s="107"/>
      <c r="F45" s="26"/>
      <c r="G45" s="7"/>
      <c r="H45" s="27"/>
      <c r="I45" s="7"/>
      <c r="J45" s="7"/>
      <c r="K45" s="7"/>
      <c r="L45" s="28"/>
      <c r="M45" s="7"/>
      <c r="N45" s="7"/>
      <c r="O45" s="7"/>
      <c r="P45" s="7"/>
      <c r="Q45" s="7"/>
      <c r="R45" s="7"/>
      <c r="S45" s="7"/>
      <c r="T45" s="7"/>
      <c r="U45" s="7"/>
      <c r="V45" s="7"/>
    </row>
  </sheetData>
  <mergeCells count="57">
    <mergeCell ref="A1:L2"/>
    <mergeCell ref="A11:A12"/>
    <mergeCell ref="H11:J11"/>
    <mergeCell ref="B11:C12"/>
    <mergeCell ref="F11:F12"/>
    <mergeCell ref="G11:G12"/>
    <mergeCell ref="K11:K12"/>
    <mergeCell ref="C3:G3"/>
    <mergeCell ref="C4:G4"/>
    <mergeCell ref="I3:L3"/>
    <mergeCell ref="K6:L6"/>
    <mergeCell ref="A6:C6"/>
    <mergeCell ref="H6:J6"/>
    <mergeCell ref="L11:L12"/>
    <mergeCell ref="I4:L4"/>
    <mergeCell ref="D41:K41"/>
    <mergeCell ref="B33:C33"/>
    <mergeCell ref="B38:C38"/>
    <mergeCell ref="B39:C39"/>
    <mergeCell ref="B40:C40"/>
    <mergeCell ref="B34:C34"/>
    <mergeCell ref="B35:C35"/>
    <mergeCell ref="B21:C21"/>
    <mergeCell ref="B17:C17"/>
    <mergeCell ref="B18:C18"/>
    <mergeCell ref="B19:C19"/>
    <mergeCell ref="B20:C20"/>
    <mergeCell ref="B15:C15"/>
    <mergeCell ref="B16:C16"/>
    <mergeCell ref="D6:G6"/>
    <mergeCell ref="H7:J7"/>
    <mergeCell ref="K7:L7"/>
    <mergeCell ref="B14:C14"/>
    <mergeCell ref="B13:C13"/>
    <mergeCell ref="D11:E11"/>
    <mergeCell ref="B7:G7"/>
    <mergeCell ref="B27:C27"/>
    <mergeCell ref="B28:C28"/>
    <mergeCell ref="B29:C29"/>
    <mergeCell ref="B36:C36"/>
    <mergeCell ref="B37:C37"/>
    <mergeCell ref="B30:C30"/>
    <mergeCell ref="B31:C31"/>
    <mergeCell ref="B32:C32"/>
    <mergeCell ref="B22:C22"/>
    <mergeCell ref="B23:C23"/>
    <mergeCell ref="B24:C24"/>
    <mergeCell ref="B25:C25"/>
    <mergeCell ref="B26:C26"/>
    <mergeCell ref="J44:K44"/>
    <mergeCell ref="B43:C43"/>
    <mergeCell ref="D43:F43"/>
    <mergeCell ref="G43:I43"/>
    <mergeCell ref="J43:K43"/>
    <mergeCell ref="D44:F44"/>
    <mergeCell ref="B44:C44"/>
    <mergeCell ref="G44:I44"/>
  </mergeCells>
  <phoneticPr fontId="0" type="noConversion"/>
  <printOptions horizontalCentered="1" verticalCentered="1"/>
  <pageMargins left="0.25" right="0.25" top="0.41" bottom="0.8125" header="0.17" footer="0.16"/>
  <pageSetup scale="95" fitToHeight="27" orientation="portrait" r:id="rId1"/>
  <headerFooter alignWithMargins="0">
    <oddFooter xml:space="preserve">&amp;L&amp;6&amp;Z&amp;F&amp;CQAI_6012 AAR Mobility PPAP Workbook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11"/>
    <pageSetUpPr fitToPage="1"/>
  </sheetPr>
  <dimension ref="A1:V43"/>
  <sheetViews>
    <sheetView zoomScaleNormal="100" workbookViewId="0">
      <pane ySplit="12" topLeftCell="A13" activePane="bottomLeft" state="frozen"/>
      <selection activeCell="O21" sqref="O21"/>
      <selection pane="bottomLeft" activeCell="O21" sqref="O21"/>
    </sheetView>
  </sheetViews>
  <sheetFormatPr defaultColWidth="9.140625" defaultRowHeight="12.75"/>
  <cols>
    <col min="1" max="1" width="4.5703125" style="1" customWidth="1"/>
    <col min="2" max="2" width="17" style="1" customWidth="1"/>
    <col min="3" max="3" width="8" style="1" customWidth="1"/>
    <col min="4" max="5" width="8.7109375" style="6" customWidth="1"/>
    <col min="6" max="6" width="10.7109375" style="1" customWidth="1"/>
    <col min="7" max="7" width="6.7109375" style="1" customWidth="1"/>
    <col min="8" max="8" width="11.85546875" style="11" customWidth="1"/>
    <col min="9" max="10" width="11.85546875" style="1" customWidth="1"/>
    <col min="11" max="12" width="3.7109375" style="1" customWidth="1"/>
    <col min="13" max="16384" width="9.140625" style="1"/>
  </cols>
  <sheetData>
    <row r="1" spans="1:15" ht="18" customHeight="1">
      <c r="A1" s="755" t="s">
        <v>848</v>
      </c>
      <c r="B1" s="658"/>
      <c r="C1" s="658"/>
      <c r="D1" s="658"/>
      <c r="E1" s="658"/>
      <c r="F1" s="658"/>
      <c r="G1" s="658"/>
      <c r="H1" s="658"/>
      <c r="I1" s="658"/>
      <c r="J1" s="658"/>
      <c r="K1" s="658"/>
      <c r="L1" s="659"/>
    </row>
    <row r="2" spans="1:15" ht="64.5" customHeight="1" thickBot="1">
      <c r="A2" s="660"/>
      <c r="B2" s="661"/>
      <c r="C2" s="661"/>
      <c r="D2" s="661"/>
      <c r="E2" s="661"/>
      <c r="F2" s="661"/>
      <c r="G2" s="661"/>
      <c r="H2" s="661"/>
      <c r="I2" s="661"/>
      <c r="J2" s="661"/>
      <c r="K2" s="661"/>
      <c r="L2" s="662"/>
    </row>
    <row r="3" spans="1:15" ht="12" customHeight="1">
      <c r="A3" s="76" t="s">
        <v>138</v>
      </c>
      <c r="B3" s="77"/>
      <c r="C3" s="809" t="str">
        <f>INTRO!D36</f>
        <v>SUPPLIER COMPANY</v>
      </c>
      <c r="D3" s="809"/>
      <c r="E3" s="809"/>
      <c r="F3" s="809"/>
      <c r="G3" s="809"/>
      <c r="H3" s="49" t="s">
        <v>18</v>
      </c>
      <c r="I3" s="817" t="str">
        <f>INTRO!$D$29</f>
        <v>P-NUMBER</v>
      </c>
      <c r="J3" s="817"/>
      <c r="K3" s="817"/>
      <c r="L3" s="818"/>
      <c r="N3" s="12"/>
      <c r="O3" s="3"/>
    </row>
    <row r="4" spans="1:15" ht="13.5" thickBot="1">
      <c r="A4" s="79" t="s">
        <v>152</v>
      </c>
      <c r="B4" s="78"/>
      <c r="C4" s="810" t="str">
        <f>INTRO!D37</f>
        <v>NUMBER</v>
      </c>
      <c r="D4" s="810"/>
      <c r="E4" s="810"/>
      <c r="F4" s="810"/>
      <c r="G4" s="810"/>
      <c r="H4" s="74" t="s">
        <v>140</v>
      </c>
      <c r="I4" s="815" t="str">
        <f>INTRO!$D$28</f>
        <v>NAME</v>
      </c>
      <c r="J4" s="815"/>
      <c r="K4" s="815"/>
      <c r="L4" s="816"/>
      <c r="N4" s="4"/>
      <c r="O4" s="4"/>
    </row>
    <row r="5" spans="1:15" s="4" customFormat="1" ht="13.5" thickBot="1">
      <c r="A5" s="75"/>
      <c r="B5" s="3"/>
      <c r="C5" s="82"/>
      <c r="D5" s="82"/>
      <c r="E5" s="82"/>
      <c r="F5" s="82"/>
      <c r="G5" s="82"/>
      <c r="H5" s="75"/>
      <c r="I5" s="83"/>
      <c r="J5" s="83"/>
      <c r="K5" s="83"/>
      <c r="L5" s="83"/>
    </row>
    <row r="6" spans="1:15" ht="12.75" customHeight="1">
      <c r="A6" s="828" t="s">
        <v>139</v>
      </c>
      <c r="B6" s="829"/>
      <c r="C6" s="829"/>
      <c r="D6" s="819"/>
      <c r="E6" s="819"/>
      <c r="F6" s="819"/>
      <c r="G6" s="820"/>
      <c r="H6" s="829" t="s">
        <v>137</v>
      </c>
      <c r="I6" s="829"/>
      <c r="J6" s="829"/>
      <c r="K6" s="826" t="str">
        <f>INTRO!D31</f>
        <v>ECN</v>
      </c>
      <c r="L6" s="827"/>
      <c r="N6" s="12"/>
      <c r="O6" s="3"/>
    </row>
    <row r="7" spans="1:15" ht="13.5" thickBot="1">
      <c r="A7" s="178" t="s">
        <v>17</v>
      </c>
      <c r="B7" s="822"/>
      <c r="C7" s="835"/>
      <c r="D7" s="835"/>
      <c r="E7" s="835"/>
      <c r="F7" s="835"/>
      <c r="G7" s="836"/>
      <c r="H7" s="821" t="s">
        <v>141</v>
      </c>
      <c r="I7" s="821"/>
      <c r="J7" s="821"/>
      <c r="K7" s="822"/>
      <c r="L7" s="823"/>
    </row>
    <row r="8" spans="1:15" ht="5.25" customHeight="1">
      <c r="A8" s="497"/>
      <c r="B8" s="104"/>
      <c r="C8" s="104"/>
      <c r="D8" s="104"/>
      <c r="E8" s="104"/>
      <c r="F8" s="104"/>
      <c r="G8" s="104"/>
      <c r="H8" s="73"/>
      <c r="I8" s="73"/>
      <c r="J8" s="73"/>
      <c r="K8" s="104"/>
      <c r="L8" s="104"/>
    </row>
    <row r="9" spans="1:15">
      <c r="A9" s="12" t="s">
        <v>845</v>
      </c>
      <c r="B9" s="104"/>
      <c r="C9" s="104"/>
      <c r="D9" s="104"/>
      <c r="E9" s="104"/>
      <c r="F9" s="104"/>
      <c r="G9" s="104"/>
      <c r="H9" s="73"/>
      <c r="I9" s="73"/>
      <c r="J9" s="73"/>
      <c r="K9" s="104"/>
      <c r="L9" s="104"/>
    </row>
    <row r="10" spans="1:15" ht="6.75" customHeight="1" thickBot="1">
      <c r="A10" s="75"/>
      <c r="B10" s="75"/>
      <c r="C10" s="75"/>
      <c r="D10" s="104"/>
      <c r="E10" s="104"/>
      <c r="F10" s="75"/>
      <c r="G10" s="75"/>
      <c r="H10" s="75"/>
      <c r="I10" s="75"/>
      <c r="J10" s="75"/>
      <c r="K10" s="75"/>
      <c r="L10" s="4"/>
    </row>
    <row r="11" spans="1:15" ht="18.75" customHeight="1">
      <c r="A11" s="796" t="s">
        <v>72</v>
      </c>
      <c r="B11" s="801" t="s">
        <v>846</v>
      </c>
      <c r="C11" s="802"/>
      <c r="D11" s="834" t="s">
        <v>133</v>
      </c>
      <c r="E11" s="834"/>
      <c r="F11" s="805" t="s">
        <v>181</v>
      </c>
      <c r="G11" s="807" t="s">
        <v>134</v>
      </c>
      <c r="H11" s="850" t="s">
        <v>143</v>
      </c>
      <c r="I11" s="799"/>
      <c r="J11" s="800"/>
      <c r="K11" s="805" t="s">
        <v>73</v>
      </c>
      <c r="L11" s="830" t="s">
        <v>135</v>
      </c>
    </row>
    <row r="12" spans="1:15" s="13" customFormat="1" ht="13.5" thickBot="1">
      <c r="A12" s="849"/>
      <c r="B12" s="851"/>
      <c r="C12" s="852"/>
      <c r="D12" s="558" t="s">
        <v>257</v>
      </c>
      <c r="E12" s="558" t="s">
        <v>258</v>
      </c>
      <c r="F12" s="853"/>
      <c r="G12" s="854"/>
      <c r="H12" s="559" t="s">
        <v>146</v>
      </c>
      <c r="I12" s="559" t="s">
        <v>147</v>
      </c>
      <c r="J12" s="560" t="s">
        <v>148</v>
      </c>
      <c r="K12" s="853"/>
      <c r="L12" s="865"/>
    </row>
    <row r="13" spans="1:15" s="581" customFormat="1" ht="17.25" customHeight="1">
      <c r="A13" s="866" t="s">
        <v>859</v>
      </c>
      <c r="B13" s="867"/>
      <c r="C13" s="867"/>
      <c r="D13" s="867"/>
      <c r="E13" s="867"/>
      <c r="F13" s="867"/>
      <c r="G13" s="867"/>
      <c r="H13" s="867"/>
      <c r="I13" s="867"/>
      <c r="J13" s="867"/>
      <c r="K13" s="867"/>
      <c r="L13" s="868"/>
    </row>
    <row r="14" spans="1:15" s="20" customFormat="1" ht="15">
      <c r="A14" s="567"/>
      <c r="B14" s="864" t="s">
        <v>156</v>
      </c>
      <c r="C14" s="864"/>
      <c r="D14" s="562"/>
      <c r="E14" s="562"/>
      <c r="F14" s="563"/>
      <c r="G14" s="23"/>
      <c r="H14" s="17"/>
      <c r="I14" s="17"/>
      <c r="J14" s="17"/>
      <c r="K14" s="21"/>
      <c r="L14" s="38"/>
    </row>
    <row r="15" spans="1:15" s="20" customFormat="1" ht="15">
      <c r="A15" s="567"/>
      <c r="B15" s="857" t="s">
        <v>155</v>
      </c>
      <c r="C15" s="858"/>
      <c r="D15" s="21"/>
      <c r="E15" s="21"/>
      <c r="F15" s="561"/>
      <c r="G15" s="23"/>
      <c r="H15" s="17"/>
      <c r="I15" s="17"/>
      <c r="J15" s="17"/>
      <c r="K15" s="21"/>
      <c r="L15" s="38"/>
    </row>
    <row r="16" spans="1:15" s="20" customFormat="1" ht="15">
      <c r="A16" s="567"/>
      <c r="B16" s="857" t="s">
        <v>157</v>
      </c>
      <c r="C16" s="858"/>
      <c r="D16" s="21"/>
      <c r="E16" s="21"/>
      <c r="F16" s="561"/>
      <c r="G16" s="23"/>
      <c r="H16" s="17"/>
      <c r="I16" s="17"/>
      <c r="J16" s="17"/>
      <c r="K16" s="21"/>
      <c r="L16" s="38"/>
    </row>
    <row r="17" spans="1:12" s="20" customFormat="1" ht="15">
      <c r="A17" s="567"/>
      <c r="B17" s="857" t="s">
        <v>793</v>
      </c>
      <c r="C17" s="858"/>
      <c r="D17" s="21"/>
      <c r="E17" s="21"/>
      <c r="F17" s="561"/>
      <c r="G17" s="23"/>
      <c r="H17" s="17"/>
      <c r="I17" s="17"/>
      <c r="J17" s="17"/>
      <c r="K17" s="21"/>
      <c r="L17" s="38"/>
    </row>
    <row r="18" spans="1:12" s="20" customFormat="1" ht="15">
      <c r="A18" s="567"/>
      <c r="B18" s="857" t="s">
        <v>158</v>
      </c>
      <c r="C18" s="858"/>
      <c r="D18" s="21"/>
      <c r="E18" s="21"/>
      <c r="F18" s="564"/>
      <c r="G18" s="23"/>
      <c r="H18" s="17"/>
      <c r="I18" s="17"/>
      <c r="J18" s="17"/>
      <c r="K18" s="21"/>
      <c r="L18" s="38"/>
    </row>
    <row r="19" spans="1:12" s="20" customFormat="1" ht="15">
      <c r="A19" s="567" t="s">
        <v>154</v>
      </c>
      <c r="B19" s="857" t="s">
        <v>159</v>
      </c>
      <c r="C19" s="858"/>
      <c r="D19" s="21"/>
      <c r="E19" s="21"/>
      <c r="F19" s="564"/>
      <c r="G19" s="23"/>
      <c r="H19" s="17"/>
      <c r="I19" s="17"/>
      <c r="J19" s="17"/>
      <c r="K19" s="21"/>
      <c r="L19" s="38"/>
    </row>
    <row r="20" spans="1:12" s="581" customFormat="1" ht="20.25" customHeight="1">
      <c r="A20" s="859" t="s">
        <v>860</v>
      </c>
      <c r="B20" s="860"/>
      <c r="C20" s="860"/>
      <c r="D20" s="860"/>
      <c r="E20" s="860"/>
      <c r="F20" s="860"/>
      <c r="G20" s="860"/>
      <c r="H20" s="860"/>
      <c r="I20" s="860"/>
      <c r="J20" s="860"/>
      <c r="K20" s="860"/>
      <c r="L20" s="861"/>
    </row>
    <row r="21" spans="1:12" s="20" customFormat="1" ht="15">
      <c r="A21" s="37"/>
      <c r="B21" s="864" t="s">
        <v>156</v>
      </c>
      <c r="C21" s="864"/>
      <c r="D21" s="21"/>
      <c r="E21" s="21"/>
      <c r="F21" s="565"/>
      <c r="G21" s="23"/>
      <c r="H21" s="17"/>
      <c r="I21" s="17"/>
      <c r="J21" s="17"/>
      <c r="K21" s="21"/>
      <c r="L21" s="38"/>
    </row>
    <row r="22" spans="1:12" s="20" customFormat="1" ht="15">
      <c r="A22" s="37"/>
      <c r="B22" s="857" t="s">
        <v>155</v>
      </c>
      <c r="C22" s="858"/>
      <c r="D22" s="21"/>
      <c r="E22" s="21"/>
      <c r="F22" s="565"/>
      <c r="G22" s="23"/>
      <c r="H22" s="17"/>
      <c r="I22" s="17"/>
      <c r="J22" s="17"/>
      <c r="K22" s="21"/>
      <c r="L22" s="38"/>
    </row>
    <row r="23" spans="1:12" s="20" customFormat="1" ht="15">
      <c r="A23" s="37"/>
      <c r="B23" s="857" t="s">
        <v>157</v>
      </c>
      <c r="C23" s="858"/>
      <c r="D23" s="21"/>
      <c r="E23" s="21"/>
      <c r="F23" s="565"/>
      <c r="G23" s="23"/>
      <c r="H23" s="17"/>
      <c r="I23" s="17"/>
      <c r="J23" s="17"/>
      <c r="K23" s="21"/>
      <c r="L23" s="38"/>
    </row>
    <row r="24" spans="1:12" s="20" customFormat="1" ht="15">
      <c r="A24" s="37"/>
      <c r="B24" s="857" t="s">
        <v>793</v>
      </c>
      <c r="C24" s="858"/>
      <c r="D24" s="21"/>
      <c r="E24" s="21"/>
      <c r="F24" s="565"/>
      <c r="G24" s="23"/>
      <c r="H24" s="17"/>
      <c r="I24" s="17"/>
      <c r="J24" s="17"/>
      <c r="K24" s="21"/>
      <c r="L24" s="38"/>
    </row>
    <row r="25" spans="1:12" s="20" customFormat="1" ht="15">
      <c r="A25" s="37"/>
      <c r="B25" s="857" t="s">
        <v>158</v>
      </c>
      <c r="C25" s="858"/>
      <c r="D25" s="21"/>
      <c r="E25" s="21"/>
      <c r="F25" s="565"/>
      <c r="G25" s="23"/>
      <c r="H25" s="17"/>
      <c r="I25" s="17"/>
      <c r="J25" s="17"/>
      <c r="K25" s="21"/>
      <c r="L25" s="38"/>
    </row>
    <row r="26" spans="1:12" s="20" customFormat="1" ht="15">
      <c r="A26" s="37"/>
      <c r="B26" s="857" t="s">
        <v>159</v>
      </c>
      <c r="C26" s="858"/>
      <c r="D26" s="21"/>
      <c r="E26" s="21"/>
      <c r="F26" s="565"/>
      <c r="G26" s="23"/>
      <c r="H26" s="17"/>
      <c r="I26" s="17"/>
      <c r="J26" s="17"/>
      <c r="K26" s="21"/>
      <c r="L26" s="38"/>
    </row>
    <row r="27" spans="1:12" s="20" customFormat="1" ht="24.75" customHeight="1">
      <c r="A27" s="859" t="s">
        <v>861</v>
      </c>
      <c r="B27" s="860"/>
      <c r="C27" s="860"/>
      <c r="D27" s="860"/>
      <c r="E27" s="860"/>
      <c r="F27" s="860"/>
      <c r="G27" s="860"/>
      <c r="H27" s="860"/>
      <c r="I27" s="860"/>
      <c r="J27" s="860"/>
      <c r="K27" s="860"/>
      <c r="L27" s="861"/>
    </row>
    <row r="28" spans="1:12" s="20" customFormat="1" ht="15">
      <c r="A28" s="37"/>
      <c r="B28" s="863" t="s">
        <v>862</v>
      </c>
      <c r="C28" s="856"/>
      <c r="D28" s="21"/>
      <c r="E28" s="21"/>
      <c r="F28" s="565"/>
      <c r="G28" s="23"/>
      <c r="H28" s="17"/>
      <c r="I28" s="17"/>
      <c r="J28" s="17"/>
      <c r="K28" s="21"/>
      <c r="L28" s="38"/>
    </row>
    <row r="29" spans="1:12" s="20" customFormat="1" ht="15">
      <c r="A29" s="37"/>
      <c r="B29" s="856"/>
      <c r="C29" s="856"/>
      <c r="D29" s="21"/>
      <c r="E29" s="21"/>
      <c r="F29" s="565"/>
      <c r="G29" s="23"/>
      <c r="H29" s="17"/>
      <c r="I29" s="17"/>
      <c r="J29" s="17"/>
      <c r="K29" s="21"/>
      <c r="L29" s="38"/>
    </row>
    <row r="30" spans="1:12" s="20" customFormat="1" ht="15">
      <c r="A30" s="37"/>
      <c r="B30" s="811"/>
      <c r="C30" s="812"/>
      <c r="D30" s="21"/>
      <c r="E30" s="21"/>
      <c r="F30" s="565"/>
      <c r="G30" s="23"/>
      <c r="H30" s="17"/>
      <c r="I30" s="17"/>
      <c r="J30" s="17"/>
      <c r="K30" s="21"/>
      <c r="L30" s="38"/>
    </row>
    <row r="31" spans="1:12" s="20" customFormat="1" ht="15">
      <c r="A31" s="37"/>
      <c r="B31" s="811"/>
      <c r="C31" s="812"/>
      <c r="D31" s="21"/>
      <c r="E31" s="21"/>
      <c r="F31" s="565"/>
      <c r="G31" s="23"/>
      <c r="H31" s="17"/>
      <c r="I31" s="17"/>
      <c r="J31" s="17"/>
      <c r="K31" s="21"/>
      <c r="L31" s="38"/>
    </row>
    <row r="32" spans="1:12" s="20" customFormat="1" ht="15">
      <c r="A32" s="37"/>
      <c r="B32" s="811"/>
      <c r="C32" s="812"/>
      <c r="D32" s="21"/>
      <c r="E32" s="21"/>
      <c r="F32" s="565"/>
      <c r="G32" s="23"/>
      <c r="H32" s="17"/>
      <c r="I32" s="17"/>
      <c r="J32" s="17"/>
      <c r="K32" s="21"/>
      <c r="L32" s="38"/>
    </row>
    <row r="33" spans="1:22" s="20" customFormat="1" ht="15">
      <c r="A33" s="37"/>
      <c r="B33" s="811"/>
      <c r="C33" s="812"/>
      <c r="D33" s="21"/>
      <c r="E33" s="21"/>
      <c r="F33" s="565"/>
      <c r="G33" s="23"/>
      <c r="H33" s="17"/>
      <c r="I33" s="17"/>
      <c r="J33" s="17"/>
      <c r="K33" s="21"/>
      <c r="L33" s="38"/>
    </row>
    <row r="34" spans="1:22" s="20" customFormat="1" ht="15">
      <c r="A34" s="37"/>
      <c r="B34" s="811"/>
      <c r="C34" s="812"/>
      <c r="D34" s="21"/>
      <c r="E34" s="21"/>
      <c r="F34" s="565"/>
      <c r="G34" s="23"/>
      <c r="H34" s="17"/>
      <c r="I34" s="17"/>
      <c r="J34" s="17"/>
      <c r="K34" s="21"/>
      <c r="L34" s="38"/>
    </row>
    <row r="35" spans="1:22" s="20" customFormat="1" ht="15">
      <c r="A35" s="37"/>
      <c r="B35" s="855"/>
      <c r="C35" s="855"/>
      <c r="D35" s="21"/>
      <c r="E35" s="21"/>
      <c r="F35" s="565"/>
      <c r="G35" s="23"/>
      <c r="H35" s="17"/>
      <c r="I35" s="17"/>
      <c r="J35" s="17"/>
      <c r="K35" s="21"/>
      <c r="L35" s="38"/>
    </row>
    <row r="36" spans="1:22" s="20" customFormat="1" ht="15">
      <c r="A36" s="37"/>
      <c r="B36" s="855"/>
      <c r="C36" s="855"/>
      <c r="D36" s="21"/>
      <c r="E36" s="21"/>
      <c r="F36" s="565"/>
      <c r="G36" s="23"/>
      <c r="H36" s="17"/>
      <c r="I36" s="17"/>
      <c r="J36" s="17"/>
      <c r="K36" s="21"/>
      <c r="L36" s="38"/>
    </row>
    <row r="37" spans="1:22" s="20" customFormat="1" ht="15">
      <c r="A37" s="37"/>
      <c r="B37" s="855"/>
      <c r="C37" s="855"/>
      <c r="D37" s="21"/>
      <c r="E37" s="21"/>
      <c r="F37" s="565"/>
      <c r="G37" s="23"/>
      <c r="H37" s="17"/>
      <c r="I37" s="17"/>
      <c r="J37" s="17"/>
      <c r="K37" s="21"/>
      <c r="L37" s="38"/>
    </row>
    <row r="38" spans="1:22" s="20" customFormat="1" ht="15.75" thickBot="1">
      <c r="A38" s="39"/>
      <c r="B38" s="862"/>
      <c r="C38" s="862"/>
      <c r="D38" s="44"/>
      <c r="E38" s="44"/>
      <c r="F38" s="566"/>
      <c r="G38" s="41"/>
      <c r="H38" s="42"/>
      <c r="I38" s="42"/>
      <c r="J38" s="42"/>
      <c r="K38" s="44"/>
      <c r="L38" s="45"/>
    </row>
    <row r="39" spans="1:22" s="20" customFormat="1" ht="15.75" thickBot="1">
      <c r="A39" s="29"/>
      <c r="B39" s="29"/>
      <c r="C39" s="29"/>
      <c r="D39" s="846" t="s">
        <v>142</v>
      </c>
      <c r="E39" s="847"/>
      <c r="F39" s="847"/>
      <c r="G39" s="847"/>
      <c r="H39" s="847"/>
      <c r="I39" s="847"/>
      <c r="J39" s="847"/>
      <c r="K39" s="848"/>
    </row>
    <row r="40" spans="1:22">
      <c r="D40" s="1"/>
      <c r="E40" s="4"/>
      <c r="F40" s="4"/>
      <c r="H40" s="1"/>
    </row>
    <row r="41" spans="1:22" ht="9.75" customHeight="1">
      <c r="B41" s="842" t="s">
        <v>149</v>
      </c>
      <c r="C41" s="843"/>
      <c r="D41" s="844" t="s">
        <v>15</v>
      </c>
      <c r="E41" s="844"/>
      <c r="F41" s="844"/>
      <c r="G41" s="844" t="s">
        <v>74</v>
      </c>
      <c r="H41" s="844"/>
      <c r="I41" s="844"/>
      <c r="J41" s="844" t="s">
        <v>16</v>
      </c>
      <c r="K41" s="845"/>
    </row>
    <row r="42" spans="1:22" ht="20.25" customHeight="1">
      <c r="B42" s="837"/>
      <c r="C42" s="838"/>
      <c r="D42" s="839"/>
      <c r="E42" s="839"/>
      <c r="F42" s="839"/>
      <c r="G42" s="839"/>
      <c r="H42" s="839"/>
      <c r="I42" s="839"/>
      <c r="J42" s="840"/>
      <c r="K42" s="841"/>
    </row>
    <row r="43" spans="1:22" s="8" customFormat="1" ht="9">
      <c r="A43" s="7"/>
      <c r="B43" s="7"/>
      <c r="C43" s="9"/>
      <c r="D43" s="107"/>
      <c r="E43" s="107"/>
      <c r="F43" s="26"/>
      <c r="G43" s="7"/>
      <c r="H43" s="27"/>
      <c r="I43" s="7"/>
      <c r="J43" s="7"/>
      <c r="K43" s="7"/>
      <c r="L43" s="28"/>
      <c r="M43" s="7"/>
      <c r="N43" s="7"/>
      <c r="O43" s="7"/>
      <c r="P43" s="7"/>
      <c r="Q43" s="7"/>
      <c r="R43" s="7"/>
      <c r="S43" s="7"/>
      <c r="T43" s="7"/>
      <c r="U43" s="7"/>
      <c r="V43" s="7"/>
    </row>
  </sheetData>
  <mergeCells count="55">
    <mergeCell ref="B42:C42"/>
    <mergeCell ref="G42:I42"/>
    <mergeCell ref="J42:K42"/>
    <mergeCell ref="B41:C41"/>
    <mergeCell ref="D41:F41"/>
    <mergeCell ref="G41:I41"/>
    <mergeCell ref="J41:K41"/>
    <mergeCell ref="D42:F42"/>
    <mergeCell ref="I3:L3"/>
    <mergeCell ref="B15:C15"/>
    <mergeCell ref="B16:C16"/>
    <mergeCell ref="D6:G6"/>
    <mergeCell ref="H7:J7"/>
    <mergeCell ref="K7:L7"/>
    <mergeCell ref="B14:C14"/>
    <mergeCell ref="K6:L6"/>
    <mergeCell ref="A6:C6"/>
    <mergeCell ref="H6:J6"/>
    <mergeCell ref="L11:L12"/>
    <mergeCell ref="D11:E11"/>
    <mergeCell ref="B7:G7"/>
    <mergeCell ref="A13:L13"/>
    <mergeCell ref="I4:L4"/>
    <mergeCell ref="B19:C19"/>
    <mergeCell ref="B18:C18"/>
    <mergeCell ref="A20:L20"/>
    <mergeCell ref="B38:C38"/>
    <mergeCell ref="B32:C32"/>
    <mergeCell ref="B33:C33"/>
    <mergeCell ref="B34:C34"/>
    <mergeCell ref="B35:C35"/>
    <mergeCell ref="A27:L27"/>
    <mergeCell ref="B28:C28"/>
    <mergeCell ref="B24:C24"/>
    <mergeCell ref="B25:C25"/>
    <mergeCell ref="B26:C26"/>
    <mergeCell ref="B21:C21"/>
    <mergeCell ref="B22:C22"/>
    <mergeCell ref="B23:C23"/>
    <mergeCell ref="D39:K39"/>
    <mergeCell ref="A1:L2"/>
    <mergeCell ref="A11:A12"/>
    <mergeCell ref="H11:J11"/>
    <mergeCell ref="B11:C12"/>
    <mergeCell ref="F11:F12"/>
    <mergeCell ref="G11:G12"/>
    <mergeCell ref="K11:K12"/>
    <mergeCell ref="C3:G3"/>
    <mergeCell ref="C4:G4"/>
    <mergeCell ref="B31:C31"/>
    <mergeCell ref="B36:C36"/>
    <mergeCell ref="B29:C29"/>
    <mergeCell ref="B37:C37"/>
    <mergeCell ref="B30:C30"/>
    <mergeCell ref="B17:C17"/>
  </mergeCells>
  <phoneticPr fontId="0" type="noConversion"/>
  <printOptions horizontalCentered="1" verticalCentered="1"/>
  <pageMargins left="0.25" right="0.25" top="0.41" bottom="0.8125" header="0.17" footer="0.16"/>
  <pageSetup scale="96" fitToHeight="27" orientation="portrait" r:id="rId1"/>
  <headerFooter alignWithMargins="0">
    <oddFooter xml:space="preserve">&amp;L&amp;6&amp;Z&amp;F&amp;CQAI_6012 AAR Mobility PPAP Workbook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33</vt:i4>
      </vt:variant>
    </vt:vector>
  </HeadingPairs>
  <TitlesOfParts>
    <vt:vector size="61" baseType="lpstr">
      <vt:lpstr>COVER</vt:lpstr>
      <vt:lpstr>INTRO</vt:lpstr>
      <vt:lpstr>PPAP REQUIREMENTS</vt:lpstr>
      <vt:lpstr>LABELING</vt:lpstr>
      <vt:lpstr>PSW</vt:lpstr>
      <vt:lpstr>DIMENSIONAL</vt:lpstr>
      <vt:lpstr>DESIGN RECORD (BUBBLED DRAWING)</vt:lpstr>
      <vt:lpstr>PRINT NOTES</vt:lpstr>
      <vt:lpstr>PRINT NOTES - PAINT</vt:lpstr>
      <vt:lpstr>PRINT NOTES - WELDING</vt:lpstr>
      <vt:lpstr>APPEARANCE</vt:lpstr>
      <vt:lpstr>DFMEA</vt:lpstr>
      <vt:lpstr>FLOW</vt:lpstr>
      <vt:lpstr>PFMEA</vt:lpstr>
      <vt:lpstr>CPLAN</vt:lpstr>
      <vt:lpstr>TOOLING</vt:lpstr>
      <vt:lpstr>CAPABILITY STUDY</vt:lpstr>
      <vt:lpstr>DFMEA Ratings</vt:lpstr>
      <vt:lpstr>PFMEA Ratings</vt:lpstr>
      <vt:lpstr>GR&amp;R ATT(Analytic)</vt:lpstr>
      <vt:lpstr>Graph</vt:lpstr>
      <vt:lpstr>GR&amp;R ATT(Risk)</vt:lpstr>
      <vt:lpstr>GR&amp;R VAR(TV)</vt:lpstr>
      <vt:lpstr>GR&amp;R VAR(Tol)</vt:lpstr>
      <vt:lpstr>GR&amp;R ANOVA</vt:lpstr>
      <vt:lpstr>Graphical</vt:lpstr>
      <vt:lpstr>GR&amp;R X&amp;R</vt:lpstr>
      <vt:lpstr>Gage R</vt:lpstr>
      <vt:lpstr>'CAPABILITY STUDY'!Print_Area</vt:lpstr>
      <vt:lpstr>COVER!Print_Area</vt:lpstr>
      <vt:lpstr>'DFMEA Ratings'!Print_Area</vt:lpstr>
      <vt:lpstr>DIMENSIONAL!Print_Area</vt:lpstr>
      <vt:lpstr>FLOW!Print_Area</vt:lpstr>
      <vt:lpstr>'Gage R'!Print_Area</vt:lpstr>
      <vt:lpstr>'GR&amp;R ANOVA'!Print_Area</vt:lpstr>
      <vt:lpstr>'GR&amp;R ATT(Risk)'!Print_Area</vt:lpstr>
      <vt:lpstr>'GR&amp;R VAR(TV)'!Print_Area</vt:lpstr>
      <vt:lpstr>'GR&amp;R X&amp;R'!Print_Area</vt:lpstr>
      <vt:lpstr>Graphical!Print_Area</vt:lpstr>
      <vt:lpstr>INTRO!Print_Area</vt:lpstr>
      <vt:lpstr>PFMEA!Print_Area</vt:lpstr>
      <vt:lpstr>'PRINT NOTES'!Print_Area</vt:lpstr>
      <vt:lpstr>'PRINT NOTES - PAINT'!Print_Area</vt:lpstr>
      <vt:lpstr>'PRINT NOTES - WELDING'!Print_Area</vt:lpstr>
      <vt:lpstr>PSW!Print_Area</vt:lpstr>
      <vt:lpstr>TOOLING!Print_Area</vt:lpstr>
      <vt:lpstr>CPLAN!Print_Titles</vt:lpstr>
      <vt:lpstr>DFMEA!Print_Titles</vt:lpstr>
      <vt:lpstr>DIMENSIONAL!Print_Titles</vt:lpstr>
      <vt:lpstr>FLOW!Print_Titles</vt:lpstr>
      <vt:lpstr>'GR&amp;R ANOVA'!Print_Titles</vt:lpstr>
      <vt:lpstr>'GR&amp;R ATT(Risk)'!Print_Titles</vt:lpstr>
      <vt:lpstr>'GR&amp;R VAR(TV)'!Print_Titles</vt:lpstr>
      <vt:lpstr>'GR&amp;R X&amp;R'!Print_Titles</vt:lpstr>
      <vt:lpstr>Graphical!Print_Titles</vt:lpstr>
      <vt:lpstr>PFMEA!Print_Titles</vt:lpstr>
      <vt:lpstr>'PRINT NOTES'!Print_Titles</vt:lpstr>
      <vt:lpstr>'PRINT NOTES - PAINT'!Print_Titles</vt:lpstr>
      <vt:lpstr>'PRINT NOTES - WELDING'!Print_Titles</vt:lpstr>
      <vt:lpstr>TOOLING!Print_Titles</vt:lpstr>
      <vt:lpstr>PFMEA!RPNlimit</vt:lpstr>
    </vt:vector>
  </TitlesOfParts>
  <Company>AAR Mobility Systems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Quality Manager</dc:title>
  <dc:subject>PPAP Workbook</dc:subject>
  <dc:creator>Ed.Deboer@aarcorp.com</dc:creator>
  <cp:lastModifiedBy>Ed Deboer</cp:lastModifiedBy>
  <cp:lastPrinted>2020-08-20T20:56:55Z</cp:lastPrinted>
  <dcterms:created xsi:type="dcterms:W3CDTF">1999-08-04T22:09:04Z</dcterms:created>
  <dcterms:modified xsi:type="dcterms:W3CDTF">2020-08-21T15:54:39Z</dcterms:modified>
</cp:coreProperties>
</file>